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imothyC\Desktop\"/>
    </mc:Choice>
  </mc:AlternateContent>
  <bookViews>
    <workbookView xWindow="0" yWindow="0" windowWidth="24000" windowHeight="9495"/>
  </bookViews>
  <sheets>
    <sheet name="Two Stage SET" sheetId="1" r:id="rId1"/>
  </sheets>
  <externalReferences>
    <externalReference r:id="rId2"/>
  </externalReferences>
  <definedNames>
    <definedName name="solver_adj" localSheetId="0" hidden="1">'Two Stage SET'!$B$4,'Two Stage SET'!$B$5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est" localSheetId="0" hidden="1">1</definedName>
    <definedName name="solver_itr" localSheetId="0" hidden="1">2147483647</definedName>
    <definedName name="solver_lhs1" localSheetId="0" hidden="1">'Two Stage SET'!$B$4</definedName>
    <definedName name="solver_lhs2" localSheetId="0" hidden="1">'Two Stage SET'!$B$5</definedName>
    <definedName name="solver_lhs3" localSheetId="0" hidden="1">'Two Stage SET'!$F$4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2</definedName>
    <definedName name="solver_nwt" localSheetId="0" hidden="1">1</definedName>
    <definedName name="solver_opt" localSheetId="0" hidden="1">'Two Stage SET'!$D$33</definedName>
    <definedName name="solver_pre" localSheetId="0" hidden="1">0.000001</definedName>
    <definedName name="solver_rbv" localSheetId="0" hidden="1">1</definedName>
    <definedName name="solver_rel1" localSheetId="0" hidden="1">3</definedName>
    <definedName name="solver_rel2" localSheetId="0" hidden="1">3</definedName>
    <definedName name="solver_rel3" localSheetId="0" hidden="1">3</definedName>
    <definedName name="solver_rhs1" localSheetId="0" hidden="1">15</definedName>
    <definedName name="solver_rhs2" localSheetId="0" hidden="1">1000</definedName>
    <definedName name="solver_rhs3" localSheetId="0" hidden="1">100000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71027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0" i="1" l="1"/>
  <c r="A41" i="1"/>
  <c r="A42" i="1"/>
  <c r="A43" i="1"/>
  <c r="A44" i="1"/>
  <c r="A45" i="1"/>
  <c r="B45" i="1"/>
  <c r="C45" i="1"/>
  <c r="D45" i="1"/>
  <c r="A8" i="1"/>
  <c r="A9" i="1"/>
  <c r="A10" i="1"/>
  <c r="A11" i="1"/>
  <c r="A12" i="1"/>
  <c r="A13" i="1"/>
  <c r="B13" i="1"/>
  <c r="A23" i="1"/>
  <c r="A24" i="1"/>
  <c r="A25" i="1"/>
  <c r="A26" i="1"/>
  <c r="A27" i="1"/>
  <c r="A28" i="1"/>
  <c r="B28" i="1"/>
  <c r="C28" i="1"/>
  <c r="D28" i="1"/>
  <c r="E28" i="1"/>
  <c r="D52" i="1"/>
  <c r="B7" i="1"/>
  <c r="B22" i="1"/>
  <c r="C22" i="1"/>
  <c r="D22" i="1"/>
  <c r="E22" i="1"/>
  <c r="F22" i="1"/>
  <c r="B39" i="1"/>
  <c r="C39" i="1"/>
  <c r="D39" i="1"/>
  <c r="E39" i="1"/>
  <c r="G39" i="1"/>
  <c r="B8" i="1"/>
  <c r="B23" i="1"/>
  <c r="C23" i="1"/>
  <c r="D23" i="1"/>
  <c r="E23" i="1"/>
  <c r="F23" i="1"/>
  <c r="B40" i="1"/>
  <c r="C40" i="1"/>
  <c r="D40" i="1"/>
  <c r="E40" i="1"/>
  <c r="G40" i="1"/>
  <c r="B9" i="1"/>
  <c r="B24" i="1"/>
  <c r="C24" i="1"/>
  <c r="D24" i="1"/>
  <c r="E24" i="1"/>
  <c r="F24" i="1"/>
  <c r="B41" i="1"/>
  <c r="C41" i="1"/>
  <c r="D41" i="1"/>
  <c r="E41" i="1"/>
  <c r="G41" i="1"/>
  <c r="B10" i="1"/>
  <c r="B25" i="1"/>
  <c r="C25" i="1"/>
  <c r="D25" i="1"/>
  <c r="E25" i="1"/>
  <c r="F25" i="1"/>
  <c r="B42" i="1"/>
  <c r="C42" i="1"/>
  <c r="D42" i="1"/>
  <c r="E42" i="1"/>
  <c r="G42" i="1"/>
  <c r="B11" i="1"/>
  <c r="B26" i="1"/>
  <c r="C26" i="1"/>
  <c r="D26" i="1"/>
  <c r="E26" i="1"/>
  <c r="F26" i="1"/>
  <c r="B43" i="1"/>
  <c r="C43" i="1"/>
  <c r="D43" i="1"/>
  <c r="E43" i="1"/>
  <c r="G43" i="1"/>
  <c r="B12" i="1"/>
  <c r="B27" i="1"/>
  <c r="C27" i="1"/>
  <c r="D27" i="1"/>
  <c r="E27" i="1"/>
  <c r="F27" i="1"/>
  <c r="B44" i="1"/>
  <c r="C44" i="1"/>
  <c r="D44" i="1"/>
  <c r="E44" i="1"/>
  <c r="G44" i="1"/>
  <c r="F28" i="1"/>
  <c r="E45" i="1"/>
  <c r="G45" i="1"/>
  <c r="A14" i="1"/>
  <c r="B14" i="1"/>
  <c r="A29" i="1"/>
  <c r="B29" i="1"/>
  <c r="C29" i="1"/>
  <c r="D29" i="1"/>
  <c r="E29" i="1"/>
  <c r="F29" i="1"/>
  <c r="A46" i="1"/>
  <c r="B46" i="1"/>
  <c r="C46" i="1"/>
  <c r="D46" i="1"/>
  <c r="E46" i="1"/>
  <c r="G46" i="1"/>
  <c r="A15" i="1"/>
  <c r="B15" i="1"/>
  <c r="A30" i="1"/>
  <c r="B30" i="1"/>
  <c r="C30" i="1"/>
  <c r="D30" i="1"/>
  <c r="E30" i="1"/>
  <c r="F30" i="1"/>
  <c r="A47" i="1"/>
  <c r="B47" i="1"/>
  <c r="C47" i="1"/>
  <c r="D47" i="1"/>
  <c r="E47" i="1"/>
  <c r="G47" i="1"/>
  <c r="A16" i="1"/>
  <c r="B16" i="1"/>
  <c r="A31" i="1"/>
  <c r="B31" i="1"/>
  <c r="C31" i="1"/>
  <c r="D31" i="1"/>
  <c r="E31" i="1"/>
  <c r="F31" i="1"/>
  <c r="A48" i="1"/>
  <c r="B48" i="1"/>
  <c r="C48" i="1"/>
  <c r="D48" i="1"/>
  <c r="E48" i="1"/>
  <c r="G48" i="1"/>
  <c r="A17" i="1"/>
  <c r="B17" i="1"/>
  <c r="A32" i="1"/>
  <c r="B32" i="1"/>
  <c r="C32" i="1"/>
  <c r="D32" i="1"/>
  <c r="E32" i="1"/>
  <c r="F32" i="1"/>
  <c r="A49" i="1"/>
  <c r="B49" i="1"/>
  <c r="C49" i="1"/>
  <c r="D49" i="1"/>
  <c r="E49" i="1"/>
  <c r="G49" i="1"/>
  <c r="G50" i="1"/>
  <c r="E50" i="1"/>
  <c r="H49" i="1"/>
  <c r="F49" i="1"/>
  <c r="H48" i="1"/>
  <c r="F48" i="1"/>
  <c r="H47" i="1"/>
  <c r="F47" i="1"/>
  <c r="H46" i="1"/>
  <c r="F46" i="1"/>
  <c r="H45" i="1"/>
  <c r="F45" i="1"/>
  <c r="H44" i="1"/>
  <c r="F44" i="1"/>
  <c r="H43" i="1"/>
  <c r="F43" i="1"/>
  <c r="H42" i="1"/>
  <c r="F42" i="1"/>
  <c r="H41" i="1"/>
  <c r="F41" i="1"/>
  <c r="H40" i="1"/>
  <c r="F40" i="1"/>
  <c r="H39" i="1"/>
  <c r="F39" i="1"/>
  <c r="F33" i="1"/>
  <c r="G32" i="1"/>
  <c r="G31" i="1"/>
  <c r="G30" i="1"/>
  <c r="G29" i="1"/>
  <c r="G28" i="1"/>
  <c r="G27" i="1"/>
  <c r="G26" i="1"/>
  <c r="G25" i="1"/>
  <c r="G24" i="1"/>
  <c r="G23" i="1"/>
  <c r="G22" i="1"/>
  <c r="F7" i="1"/>
  <c r="G7" i="1"/>
  <c r="H7" i="1"/>
  <c r="F8" i="1"/>
  <c r="G8" i="1"/>
  <c r="H8" i="1"/>
  <c r="F9" i="1"/>
  <c r="G9" i="1"/>
  <c r="H9" i="1"/>
  <c r="F10" i="1"/>
  <c r="G10" i="1"/>
  <c r="H10" i="1"/>
  <c r="F11" i="1"/>
  <c r="G11" i="1"/>
  <c r="H11" i="1"/>
  <c r="F12" i="1"/>
  <c r="G12" i="1"/>
  <c r="H12" i="1"/>
  <c r="F13" i="1"/>
  <c r="G13" i="1"/>
  <c r="H13" i="1"/>
  <c r="F14" i="1"/>
  <c r="G14" i="1"/>
  <c r="H14" i="1"/>
  <c r="F15" i="1"/>
  <c r="G15" i="1"/>
  <c r="H15" i="1"/>
  <c r="F16" i="1"/>
  <c r="G16" i="1"/>
  <c r="H16" i="1"/>
  <c r="F17" i="1"/>
  <c r="G17" i="1"/>
  <c r="H17" i="1"/>
  <c r="H18" i="1"/>
  <c r="C7" i="1"/>
  <c r="D7" i="1"/>
  <c r="C8" i="1"/>
  <c r="D8" i="1"/>
  <c r="C9" i="1"/>
  <c r="D9" i="1"/>
  <c r="C10" i="1"/>
  <c r="D10" i="1"/>
  <c r="C11" i="1"/>
  <c r="D11" i="1"/>
  <c r="C12" i="1"/>
  <c r="D12" i="1"/>
  <c r="C13" i="1"/>
  <c r="D13" i="1"/>
  <c r="C14" i="1"/>
  <c r="D14" i="1"/>
  <c r="C15" i="1"/>
  <c r="D15" i="1"/>
  <c r="C16" i="1"/>
  <c r="D16" i="1"/>
  <c r="C17" i="1"/>
  <c r="D17" i="1"/>
  <c r="D18" i="1"/>
  <c r="I17" i="1"/>
  <c r="E17" i="1"/>
  <c r="I16" i="1"/>
  <c r="E16" i="1"/>
  <c r="I15" i="1"/>
  <c r="E15" i="1"/>
  <c r="I14" i="1"/>
  <c r="E14" i="1"/>
  <c r="I13" i="1"/>
  <c r="E13" i="1"/>
  <c r="I12" i="1"/>
  <c r="E12" i="1"/>
  <c r="I11" i="1"/>
  <c r="E11" i="1"/>
  <c r="I10" i="1"/>
  <c r="E10" i="1"/>
  <c r="I9" i="1"/>
  <c r="E9" i="1"/>
  <c r="I8" i="1"/>
  <c r="E8" i="1"/>
  <c r="I7" i="1"/>
  <c r="E7" i="1"/>
</calcChain>
</file>

<file path=xl/sharedStrings.xml><?xml version="1.0" encoding="utf-8"?>
<sst xmlns="http://schemas.openxmlformats.org/spreadsheetml/2006/main" count="49" uniqueCount="31">
  <si>
    <t>Two Stage SET Designer (choke loaded input)</t>
  </si>
  <si>
    <t>Input</t>
  </si>
  <si>
    <t>Choke Loading Frequency Response Calculations</t>
  </si>
  <si>
    <t>Mu</t>
  </si>
  <si>
    <t>Inductance</t>
  </si>
  <si>
    <t>Rg next</t>
  </si>
  <si>
    <t>Rp</t>
  </si>
  <si>
    <t>DCR</t>
  </si>
  <si>
    <t>Frequency</t>
  </si>
  <si>
    <t>Reactance Choke</t>
  </si>
  <si>
    <t>Voltage gain</t>
  </si>
  <si>
    <t>dB</t>
  </si>
  <si>
    <t>dB +/-</t>
  </si>
  <si>
    <t>Z wrt Rg</t>
  </si>
  <si>
    <t>Voltage Gain''</t>
  </si>
  <si>
    <t>dB Average</t>
  </si>
  <si>
    <t>Miller Effect Compensation</t>
  </si>
  <si>
    <t>Miller Reactance</t>
  </si>
  <si>
    <t>Rg' wrt Miller</t>
  </si>
  <si>
    <t>Z wrt Rg'</t>
  </si>
  <si>
    <t>Output</t>
  </si>
  <si>
    <t>Pri Nom Z</t>
  </si>
  <si>
    <t>Miller input (pF)</t>
  </si>
  <si>
    <t>Induct Reactance</t>
  </si>
  <si>
    <t>Z wrt nom load</t>
  </si>
  <si>
    <t>Gain</t>
  </si>
  <si>
    <t>Total dB</t>
  </si>
  <si>
    <t>Scale</t>
  </si>
  <si>
    <t>Approximate Power</t>
  </si>
  <si>
    <t>Input RMS</t>
  </si>
  <si>
    <t>Power 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</si>
</sst>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0"/>
      <name val="Arial"/>
      <family val="2"/>
    </font>
    <font>
      <sz val="10"/>
      <name val="Arial"/>
      <family val="2"/>
    </font>
    <font>
      <sz val="22"/>
      <name val="Arial"/>
      <family val="2"/>
    </font>
    <font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Alignment="1">
      <alignment horizontal="right"/>
    </xf>
    <xf numFmtId="0" fontId="0" fillId="2" borderId="0" xfId="0" applyFill="1"/>
    <xf numFmtId="0" fontId="1" fillId="0" borderId="0" xfId="0" applyFont="1" applyAlignment="1">
      <alignment horizontal="right"/>
    </xf>
    <xf numFmtId="0" fontId="0" fillId="0" borderId="4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5" xfId="0" applyNumberFormat="1" applyFill="1" applyBorder="1" applyAlignment="1">
      <alignment horizontal="center"/>
    </xf>
    <xf numFmtId="0" fontId="1" fillId="0" borderId="0" xfId="0" applyFont="1" applyFill="1" applyAlignment="1">
      <alignment horizontal="right"/>
    </xf>
    <xf numFmtId="164" fontId="0" fillId="0" borderId="0" xfId="0" applyNumberFormat="1" applyFill="1" applyAlignment="1">
      <alignment horizontal="center"/>
    </xf>
    <xf numFmtId="0" fontId="1" fillId="0" borderId="6" xfId="0" applyFont="1" applyBorder="1" applyAlignment="1"/>
    <xf numFmtId="164" fontId="1" fillId="0" borderId="6" xfId="0" applyNumberFormat="1" applyFon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0" fontId="1" fillId="2" borderId="0" xfId="0" applyFont="1" applyFill="1" applyAlignment="1">
      <alignment horizontal="right"/>
    </xf>
    <xf numFmtId="164" fontId="0" fillId="0" borderId="7" xfId="0" applyNumberFormat="1" applyBorder="1" applyAlignment="1">
      <alignment horizontal="center"/>
    </xf>
    <xf numFmtId="0" fontId="0" fillId="0" borderId="0" xfId="0" applyAlignment="1">
      <alignment horizontal="center"/>
    </xf>
    <xf numFmtId="164" fontId="0" fillId="0" borderId="8" xfId="0" applyNumberFormat="1" applyBorder="1" applyAlignment="1">
      <alignment horizontal="center"/>
    </xf>
    <xf numFmtId="0" fontId="1" fillId="0" borderId="0" xfId="0" applyFont="1"/>
    <xf numFmtId="0" fontId="1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Calculated Frequency Response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765321860540628E-2"/>
          <c:y val="8.5382757675177792E-2"/>
          <c:w val="0.91010011635143551"/>
          <c:h val="0.81546768999487063"/>
        </c:manualLayout>
      </c:layout>
      <c:scatterChart>
        <c:scatterStyle val="smoothMarker"/>
        <c:varyColors val="0"/>
        <c:ser>
          <c:idx val="0"/>
          <c:order val="0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'Two Stage SET'!$A$39:$A$49</c:f>
              <c:numCache>
                <c:formatCode>General</c:formatCode>
                <c:ptCount val="11"/>
                <c:pt idx="0">
                  <c:v>20</c:v>
                </c:pt>
                <c:pt idx="1">
                  <c:v>40</c:v>
                </c:pt>
                <c:pt idx="2">
                  <c:v>80</c:v>
                </c:pt>
                <c:pt idx="3">
                  <c:v>160</c:v>
                </c:pt>
                <c:pt idx="4">
                  <c:v>320</c:v>
                </c:pt>
                <c:pt idx="5">
                  <c:v>640</c:v>
                </c:pt>
                <c:pt idx="6">
                  <c:v>1280</c:v>
                </c:pt>
                <c:pt idx="7">
                  <c:v>2560</c:v>
                </c:pt>
                <c:pt idx="8">
                  <c:v>5120</c:v>
                </c:pt>
                <c:pt idx="9">
                  <c:v>10240</c:v>
                </c:pt>
                <c:pt idx="10">
                  <c:v>20480</c:v>
                </c:pt>
              </c:numCache>
            </c:numRef>
          </c:xVal>
          <c:yVal>
            <c:numRef>
              <c:f>'Two Stage SET'!$H$39:$H$49</c:f>
              <c:numCache>
                <c:formatCode>0.0</c:formatCode>
                <c:ptCount val="11"/>
                <c:pt idx="0">
                  <c:v>-1.8184420759627464</c:v>
                </c:pt>
                <c:pt idx="1">
                  <c:v>-0.97724839346492232</c:v>
                </c:pt>
                <c:pt idx="2">
                  <c:v>-0.29773977847143485</c:v>
                </c:pt>
                <c:pt idx="3">
                  <c:v>0.15661196832823343</c:v>
                </c:pt>
                <c:pt idx="4">
                  <c:v>0.42043794471330465</c:v>
                </c:pt>
                <c:pt idx="5">
                  <c:v>0.55478482063556811</c:v>
                </c:pt>
                <c:pt idx="6">
                  <c:v>0.60495550225956229</c:v>
                </c:pt>
                <c:pt idx="7">
                  <c:v>0.59043542196919141</c:v>
                </c:pt>
                <c:pt idx="8">
                  <c:v>0.50458062457791719</c:v>
                </c:pt>
                <c:pt idx="9">
                  <c:v>0.31258456896482834</c:v>
                </c:pt>
                <c:pt idx="10">
                  <c:v>-5.0960603549492944E-2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43C-4E6B-8856-42F32781CEAA}"/>
            </c:ext>
          </c:extLst>
        </c:ser>
        <c:ser>
          <c:idx val="1"/>
          <c:order val="1"/>
          <c:spPr>
            <a:ln w="28575" cap="rnd">
              <a:noFill/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0" rIns="38100" bIns="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"/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xVal>
            <c:numRef>
              <c:f>'Two Stage SET'!$A$39:$A$49</c:f>
              <c:numCache>
                <c:formatCode>General</c:formatCode>
                <c:ptCount val="11"/>
                <c:pt idx="0">
                  <c:v>20</c:v>
                </c:pt>
                <c:pt idx="1">
                  <c:v>40</c:v>
                </c:pt>
                <c:pt idx="2">
                  <c:v>80</c:v>
                </c:pt>
                <c:pt idx="3">
                  <c:v>160</c:v>
                </c:pt>
                <c:pt idx="4">
                  <c:v>320</c:v>
                </c:pt>
                <c:pt idx="5">
                  <c:v>640</c:v>
                </c:pt>
                <c:pt idx="6">
                  <c:v>1280</c:v>
                </c:pt>
                <c:pt idx="7">
                  <c:v>2560</c:v>
                </c:pt>
                <c:pt idx="8">
                  <c:v>5120</c:v>
                </c:pt>
                <c:pt idx="9">
                  <c:v>10240</c:v>
                </c:pt>
                <c:pt idx="10">
                  <c:v>20480</c:v>
                </c:pt>
              </c:numCache>
            </c:numRef>
          </c:xVal>
          <c:yVal>
            <c:numRef>
              <c:f>'Two Stage SET'!$I$39:$I$49</c:f>
              <c:numCache>
                <c:formatCode>General</c:formatCode>
                <c:ptCount val="11"/>
                <c:pt idx="0">
                  <c:v>-2.5</c:v>
                </c:pt>
                <c:pt idx="1">
                  <c:v>-2.5</c:v>
                </c:pt>
                <c:pt idx="2">
                  <c:v>-2.5</c:v>
                </c:pt>
                <c:pt idx="3">
                  <c:v>-2.5</c:v>
                </c:pt>
                <c:pt idx="4">
                  <c:v>-2.5</c:v>
                </c:pt>
                <c:pt idx="5">
                  <c:v>-2.5</c:v>
                </c:pt>
                <c:pt idx="6">
                  <c:v>-2.5</c:v>
                </c:pt>
                <c:pt idx="7">
                  <c:v>-2.5</c:v>
                </c:pt>
                <c:pt idx="8">
                  <c:v>-2.5</c:v>
                </c:pt>
                <c:pt idx="9">
                  <c:v>-2.5</c:v>
                </c:pt>
                <c:pt idx="10">
                  <c:v>-2.5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43C-4E6B-8856-42F32781CEAA}"/>
            </c:ext>
          </c:extLst>
        </c:ser>
        <c:ser>
          <c:idx val="2"/>
          <c:order val="2"/>
          <c:spPr>
            <a:ln w="28575" cap="rnd">
              <a:solidFill>
                <a:srgbClr val="FFFF00"/>
              </a:solidFill>
              <a:round/>
            </a:ln>
            <a:effectLst/>
          </c:spPr>
          <c:marker>
            <c:symbol val="none"/>
          </c:marker>
          <c:xVal>
            <c:numRef>
              <c:f>'Two Stage SET'!$A$22:$A$32</c:f>
              <c:numCache>
                <c:formatCode>General</c:formatCode>
                <c:ptCount val="11"/>
                <c:pt idx="0">
                  <c:v>20</c:v>
                </c:pt>
                <c:pt idx="1">
                  <c:v>40</c:v>
                </c:pt>
                <c:pt idx="2">
                  <c:v>80</c:v>
                </c:pt>
                <c:pt idx="3">
                  <c:v>160</c:v>
                </c:pt>
                <c:pt idx="4">
                  <c:v>320</c:v>
                </c:pt>
                <c:pt idx="5">
                  <c:v>640</c:v>
                </c:pt>
                <c:pt idx="6">
                  <c:v>1280</c:v>
                </c:pt>
                <c:pt idx="7">
                  <c:v>2560</c:v>
                </c:pt>
                <c:pt idx="8">
                  <c:v>5120</c:v>
                </c:pt>
                <c:pt idx="9">
                  <c:v>10240</c:v>
                </c:pt>
                <c:pt idx="10">
                  <c:v>20480</c:v>
                </c:pt>
              </c:numCache>
            </c:numRef>
          </c:xVal>
          <c:yVal>
            <c:numRef>
              <c:f>'Two Stage SET'!$G$22:$G$32</c:f>
              <c:numCache>
                <c:formatCode>0.0</c:formatCode>
                <c:ptCount val="11"/>
                <c:pt idx="0">
                  <c:v>-1.4002149193084952</c:v>
                </c:pt>
                <c:pt idx="1">
                  <c:v>-0.71962458117516714</c:v>
                </c:pt>
                <c:pt idx="2">
                  <c:v>-0.1849224560732674</c:v>
                </c:pt>
                <c:pt idx="3">
                  <c:v>0.16377690720271953</c:v>
                </c:pt>
                <c:pt idx="4">
                  <c:v>0.36173490741143866</c:v>
                </c:pt>
                <c:pt idx="5">
                  <c:v>0.45892678091141725</c:v>
                </c:pt>
                <c:pt idx="6">
                  <c:v>0.48930654526064821</c:v>
                </c:pt>
                <c:pt idx="7">
                  <c:v>0.46456472322208509</c:v>
                </c:pt>
                <c:pt idx="8">
                  <c:v>0.37351438827959349</c:v>
                </c:pt>
                <c:pt idx="9">
                  <c:v>0.17889899469667903</c:v>
                </c:pt>
                <c:pt idx="10">
                  <c:v>-0.1859612904276462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D43C-4E6B-8856-42F32781CEAA}"/>
            </c:ext>
          </c:extLst>
        </c:ser>
        <c:ser>
          <c:idx val="3"/>
          <c:order val="3"/>
          <c:spPr>
            <a:ln w="2857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xVal>
            <c:numRef>
              <c:f>'Two Stage SET'!$A$7:$A$17</c:f>
              <c:numCache>
                <c:formatCode>General</c:formatCode>
                <c:ptCount val="11"/>
                <c:pt idx="0">
                  <c:v>20</c:v>
                </c:pt>
                <c:pt idx="1">
                  <c:v>40</c:v>
                </c:pt>
                <c:pt idx="2">
                  <c:v>80</c:v>
                </c:pt>
                <c:pt idx="3">
                  <c:v>160</c:v>
                </c:pt>
                <c:pt idx="4">
                  <c:v>320</c:v>
                </c:pt>
                <c:pt idx="5">
                  <c:v>640</c:v>
                </c:pt>
                <c:pt idx="6">
                  <c:v>1280</c:v>
                </c:pt>
                <c:pt idx="7">
                  <c:v>2560</c:v>
                </c:pt>
                <c:pt idx="8">
                  <c:v>5120</c:v>
                </c:pt>
                <c:pt idx="9">
                  <c:v>10240</c:v>
                </c:pt>
                <c:pt idx="10">
                  <c:v>20480</c:v>
                </c:pt>
              </c:numCache>
            </c:numRef>
          </c:xVal>
          <c:yVal>
            <c:numRef>
              <c:f>'Two Stage SET'!$I$7:$I$17</c:f>
              <c:numCache>
                <c:formatCode>0.0</c:formatCode>
                <c:ptCount val="11"/>
                <c:pt idx="0">
                  <c:v>-1.5478803279225035</c:v>
                </c:pt>
                <c:pt idx="1">
                  <c:v>-0.86659392980579053</c:v>
                </c:pt>
                <c:pt idx="2">
                  <c:v>-0.33029798437149704</c:v>
                </c:pt>
                <c:pt idx="3">
                  <c:v>2.1775375291777976E-2</c:v>
                </c:pt>
                <c:pt idx="4">
                  <c:v>0.22660741968705445</c:v>
                </c:pt>
                <c:pt idx="5">
                  <c:v>0.33758879690818855</c:v>
                </c:pt>
                <c:pt idx="6">
                  <c:v>0.39542595981804496</c:v>
                </c:pt>
                <c:pt idx="7">
                  <c:v>0.42495938605808625</c:v>
                </c:pt>
                <c:pt idx="8">
                  <c:v>0.43988351670832593</c:v>
                </c:pt>
                <c:pt idx="9">
                  <c:v>0.44738541140624477</c:v>
                </c:pt>
                <c:pt idx="10">
                  <c:v>0.45114637622206644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D43C-4E6B-8856-42F32781CEAA}"/>
            </c:ext>
          </c:extLst>
        </c:ser>
        <c:ser>
          <c:idx val="4"/>
          <c:order val="4"/>
          <c:spPr>
            <a:ln w="28575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xVal>
            <c:numRef>
              <c:f>'Two Stage SET'!$A$7:$A$17</c:f>
              <c:numCache>
                <c:formatCode>General</c:formatCode>
                <c:ptCount val="11"/>
                <c:pt idx="0">
                  <c:v>20</c:v>
                </c:pt>
                <c:pt idx="1">
                  <c:v>40</c:v>
                </c:pt>
                <c:pt idx="2">
                  <c:v>80</c:v>
                </c:pt>
                <c:pt idx="3">
                  <c:v>160</c:v>
                </c:pt>
                <c:pt idx="4">
                  <c:v>320</c:v>
                </c:pt>
                <c:pt idx="5">
                  <c:v>640</c:v>
                </c:pt>
                <c:pt idx="6">
                  <c:v>1280</c:v>
                </c:pt>
                <c:pt idx="7">
                  <c:v>2560</c:v>
                </c:pt>
                <c:pt idx="8">
                  <c:v>5120</c:v>
                </c:pt>
                <c:pt idx="9">
                  <c:v>10240</c:v>
                </c:pt>
                <c:pt idx="10">
                  <c:v>20480</c:v>
                </c:pt>
              </c:numCache>
            </c:numRef>
          </c:xVal>
          <c:yVal>
            <c:numRef>
              <c:f>'Two Stage SET'!$E$7:$E$17</c:f>
              <c:numCache>
                <c:formatCode>0.0</c:formatCode>
                <c:ptCount val="11"/>
                <c:pt idx="0">
                  <c:v>-1.6107763528539163</c:v>
                </c:pt>
                <c:pt idx="1">
                  <c:v>-0.9041110041945366</c:v>
                </c:pt>
                <c:pt idx="2">
                  <c:v>-0.34582504970250572</c:v>
                </c:pt>
                <c:pt idx="3">
                  <c:v>2.1597625460164416E-2</c:v>
                </c:pt>
                <c:pt idx="4">
                  <c:v>0.23568113625546427</c:v>
                </c:pt>
                <c:pt idx="5">
                  <c:v>0.35177183589195504</c:v>
                </c:pt>
                <c:pt idx="6">
                  <c:v>0.41229832725507087</c:v>
                </c:pt>
                <c:pt idx="7">
                  <c:v>0.4432120056428257</c:v>
                </c:pt>
                <c:pt idx="8">
                  <c:v>0.45883541342024969</c:v>
                </c:pt>
                <c:pt idx="9">
                  <c:v>0.46668926712533665</c:v>
                </c:pt>
                <c:pt idx="10">
                  <c:v>0.47062679569989196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D43C-4E6B-8856-42F32781CE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4480128"/>
        <c:axId val="1"/>
      </c:scatterChart>
      <c:valAx>
        <c:axId val="294480128"/>
        <c:scaling>
          <c:logBase val="10"/>
          <c:orientation val="minMax"/>
          <c:max val="22000"/>
          <c:min val="18"/>
        </c:scaling>
        <c:delete val="0"/>
        <c:axPos val="b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crossAx val="1"/>
        <c:crosses val="autoZero"/>
        <c:crossBetween val="midCat"/>
      </c:valAx>
      <c:valAx>
        <c:axId val="1"/>
        <c:scaling>
          <c:orientation val="minMax"/>
          <c:max val="1.5"/>
          <c:min val="-2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cross"/>
        <c:minorTickMark val="none"/>
        <c:tickLblPos val="nextTo"/>
        <c:spPr>
          <a:noFill/>
          <a:ln>
            <a:solidFill>
              <a:schemeClr val="tx1">
                <a:lumMod val="15000"/>
                <a:lumOff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4480128"/>
        <c:crosses val="autoZero"/>
        <c:crossBetween val="midCat"/>
        <c:majorUnit val="1"/>
        <c:minorUnit val="0.5"/>
      </c:valAx>
      <c:spPr>
        <a:gradFill flip="none" rotWithShape="1">
          <a:gsLst>
            <a:gs pos="0">
              <a:schemeClr val="accent1">
                <a:lumMod val="50000"/>
              </a:schemeClr>
            </a:gs>
            <a:gs pos="20000">
              <a:schemeClr val="accent1">
                <a:lumMod val="75000"/>
              </a:schemeClr>
            </a:gs>
            <a:gs pos="40000">
              <a:schemeClr val="accent1">
                <a:lumMod val="60000"/>
                <a:lumOff val="40000"/>
              </a:schemeClr>
            </a:gs>
            <a:gs pos="100000">
              <a:schemeClr val="bg1"/>
            </a:gs>
            <a:gs pos="80000">
              <a:schemeClr val="accent1">
                <a:lumMod val="20000"/>
                <a:lumOff val="80000"/>
              </a:schemeClr>
            </a:gs>
            <a:gs pos="60000">
              <a:schemeClr val="accent1">
                <a:lumMod val="40000"/>
                <a:lumOff val="60000"/>
              </a:schemeClr>
            </a:gs>
          </a:gsLst>
          <a:lin ang="0" scaled="0"/>
          <a:tileRect/>
        </a:gra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53</xdr:row>
      <xdr:rowOff>38100</xdr:rowOff>
    </xdr:from>
    <xdr:to>
      <xdr:col>7</xdr:col>
      <xdr:colOff>9525</xdr:colOff>
      <xdr:row>81</xdr:row>
      <xdr:rowOff>133350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F136654-C90B-4A88-930B-8DF63F1BDD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im%20call%20sched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hedule"/>
      <sheetName val="NAMM Appt"/>
      <sheetName val="2016 Summary"/>
      <sheetName val="LATAM Tech"/>
      <sheetName val="LATAM Monthly 2015"/>
      <sheetName val="LATAM Prospect"/>
      <sheetName val="LATAM w Email"/>
      <sheetName val="Buyers"/>
      <sheetName val="Top 50"/>
      <sheetName val="Line 6 Transition"/>
      <sheetName val="ZT"/>
      <sheetName val="Tube Costs"/>
      <sheetName val="Two Stage SET"/>
      <sheetName val="Exit Strateg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7">
          <cell r="A7">
            <v>20</v>
          </cell>
          <cell r="E7">
            <v>-1.6107763528539163</v>
          </cell>
          <cell r="I7">
            <v>-1.5478803279225035</v>
          </cell>
        </row>
        <row r="8">
          <cell r="A8">
            <v>40</v>
          </cell>
          <cell r="E8">
            <v>-0.9041110041945366</v>
          </cell>
          <cell r="I8">
            <v>-0.86659392980579053</v>
          </cell>
        </row>
        <row r="9">
          <cell r="A9">
            <v>80</v>
          </cell>
          <cell r="E9">
            <v>-0.34582504970250572</v>
          </cell>
          <cell r="I9">
            <v>-0.33029798437149704</v>
          </cell>
        </row>
        <row r="10">
          <cell r="A10">
            <v>160</v>
          </cell>
          <cell r="E10">
            <v>2.1597625460164416E-2</v>
          </cell>
          <cell r="I10">
            <v>2.1775375291777976E-2</v>
          </cell>
        </row>
        <row r="11">
          <cell r="A11">
            <v>320</v>
          </cell>
          <cell r="E11">
            <v>0.23568113625546427</v>
          </cell>
          <cell r="I11">
            <v>0.22660741968705445</v>
          </cell>
        </row>
        <row r="12">
          <cell r="A12">
            <v>640</v>
          </cell>
          <cell r="E12">
            <v>0.35177183589195504</v>
          </cell>
          <cell r="I12">
            <v>0.33758879690818855</v>
          </cell>
        </row>
        <row r="13">
          <cell r="A13">
            <v>1280</v>
          </cell>
          <cell r="E13">
            <v>0.41229832725507087</v>
          </cell>
          <cell r="I13">
            <v>0.39542595981804496</v>
          </cell>
        </row>
        <row r="14">
          <cell r="A14">
            <v>2560</v>
          </cell>
          <cell r="E14">
            <v>0.4432120056428257</v>
          </cell>
          <cell r="I14">
            <v>0.42495938605808625</v>
          </cell>
        </row>
        <row r="15">
          <cell r="A15">
            <v>5120</v>
          </cell>
          <cell r="E15">
            <v>0.45883541342024969</v>
          </cell>
          <cell r="I15">
            <v>0.43988351670832593</v>
          </cell>
        </row>
        <row r="16">
          <cell r="A16">
            <v>10240</v>
          </cell>
          <cell r="E16">
            <v>0.46668926712533665</v>
          </cell>
          <cell r="I16">
            <v>0.44738541140624477</v>
          </cell>
        </row>
        <row r="17">
          <cell r="A17">
            <v>20480</v>
          </cell>
          <cell r="E17">
            <v>0.47062679569989196</v>
          </cell>
          <cell r="I17">
            <v>0.45114637622206644</v>
          </cell>
        </row>
        <row r="22">
          <cell r="A22">
            <v>20</v>
          </cell>
          <cell r="G22">
            <v>-1.4002149193084952</v>
          </cell>
        </row>
        <row r="23">
          <cell r="A23">
            <v>40</v>
          </cell>
          <cell r="G23">
            <v>-0.71962458117516714</v>
          </cell>
        </row>
        <row r="24">
          <cell r="A24">
            <v>80</v>
          </cell>
          <cell r="G24">
            <v>-0.1849224560732674</v>
          </cell>
        </row>
        <row r="25">
          <cell r="A25">
            <v>160</v>
          </cell>
          <cell r="G25">
            <v>0.16377690720271953</v>
          </cell>
        </row>
        <row r="26">
          <cell r="A26">
            <v>320</v>
          </cell>
          <cell r="G26">
            <v>0.36173490741143866</v>
          </cell>
        </row>
        <row r="27">
          <cell r="A27">
            <v>640</v>
          </cell>
          <cell r="G27">
            <v>0.45892678091141725</v>
          </cell>
        </row>
        <row r="28">
          <cell r="A28">
            <v>1280</v>
          </cell>
          <cell r="G28">
            <v>0.48930654526064821</v>
          </cell>
        </row>
        <row r="29">
          <cell r="A29">
            <v>2560</v>
          </cell>
          <cell r="G29">
            <v>0.46456472322208509</v>
          </cell>
        </row>
        <row r="30">
          <cell r="A30">
            <v>5120</v>
          </cell>
          <cell r="G30">
            <v>0.37351438827959349</v>
          </cell>
        </row>
        <row r="31">
          <cell r="A31">
            <v>10240</v>
          </cell>
          <cell r="G31">
            <v>0.17889899469667903</v>
          </cell>
        </row>
        <row r="32">
          <cell r="A32">
            <v>20480</v>
          </cell>
          <cell r="G32">
            <v>-0.1859612904276462</v>
          </cell>
        </row>
        <row r="39">
          <cell r="A39">
            <v>20</v>
          </cell>
          <cell r="H39">
            <v>-1.8184420759627464</v>
          </cell>
          <cell r="I39">
            <v>-2.5</v>
          </cell>
        </row>
        <row r="40">
          <cell r="A40">
            <v>40</v>
          </cell>
          <cell r="H40">
            <v>-0.97724839346492232</v>
          </cell>
          <cell r="I40">
            <v>-2.5</v>
          </cell>
        </row>
        <row r="41">
          <cell r="A41">
            <v>80</v>
          </cell>
          <cell r="H41">
            <v>-0.29773977847143485</v>
          </cell>
          <cell r="I41">
            <v>-2.5</v>
          </cell>
        </row>
        <row r="42">
          <cell r="A42">
            <v>160</v>
          </cell>
          <cell r="H42">
            <v>0.15661196832823343</v>
          </cell>
          <cell r="I42">
            <v>-2.5</v>
          </cell>
        </row>
        <row r="43">
          <cell r="A43">
            <v>320</v>
          </cell>
          <cell r="H43">
            <v>0.42043794471330465</v>
          </cell>
          <cell r="I43">
            <v>-2.5</v>
          </cell>
        </row>
        <row r="44">
          <cell r="A44">
            <v>640</v>
          </cell>
          <cell r="H44">
            <v>0.55478482063556811</v>
          </cell>
          <cell r="I44">
            <v>-2.5</v>
          </cell>
        </row>
        <row r="45">
          <cell r="A45">
            <v>1280</v>
          </cell>
          <cell r="H45">
            <v>0.60495550225956229</v>
          </cell>
          <cell r="I45">
            <v>-2.5</v>
          </cell>
        </row>
        <row r="46">
          <cell r="A46">
            <v>2560</v>
          </cell>
          <cell r="H46">
            <v>0.59043542196919141</v>
          </cell>
          <cell r="I46">
            <v>-2.5</v>
          </cell>
        </row>
        <row r="47">
          <cell r="A47">
            <v>5120</v>
          </cell>
          <cell r="H47">
            <v>0.50458062457791719</v>
          </cell>
          <cell r="I47">
            <v>-2.5</v>
          </cell>
        </row>
        <row r="48">
          <cell r="A48">
            <v>10240</v>
          </cell>
          <cell r="H48">
            <v>0.31258456896482834</v>
          </cell>
          <cell r="I48">
            <v>-2.5</v>
          </cell>
        </row>
        <row r="49">
          <cell r="A49">
            <v>20480</v>
          </cell>
          <cell r="H49">
            <v>-5.0960603549492944E-2</v>
          </cell>
          <cell r="I49">
            <v>-2.5</v>
          </cell>
        </row>
      </sheetData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tabSelected="1" zoomScaleNormal="100" workbookViewId="0">
      <selection activeCell="L15" sqref="L15"/>
    </sheetView>
  </sheetViews>
  <sheetFormatPr defaultRowHeight="12.75" x14ac:dyDescent="0.2"/>
  <cols>
    <col min="1" max="1" width="12.5703125" customWidth="1"/>
    <col min="2" max="4" width="15.7109375" customWidth="1"/>
    <col min="5" max="5" width="15.28515625" customWidth="1"/>
    <col min="6" max="7" width="15.7109375" customWidth="1"/>
  </cols>
  <sheetData>
    <row r="1" spans="1:9" ht="31.5" customHeight="1" x14ac:dyDescent="0.2">
      <c r="A1" s="1" t="s">
        <v>0</v>
      </c>
      <c r="B1" s="1"/>
      <c r="C1" s="1"/>
      <c r="D1" s="1"/>
      <c r="E1" s="1"/>
      <c r="F1" s="1"/>
      <c r="G1" s="1"/>
      <c r="H1" s="1"/>
    </row>
    <row r="2" spans="1:9" ht="18" x14ac:dyDescent="0.25">
      <c r="A2" s="2" t="s">
        <v>1</v>
      </c>
      <c r="B2" s="3"/>
      <c r="C2" s="3"/>
      <c r="D2" s="3"/>
      <c r="E2" s="3"/>
      <c r="F2" s="3"/>
      <c r="G2" s="3"/>
      <c r="H2" s="3"/>
      <c r="I2" s="4"/>
    </row>
    <row r="3" spans="1:9" x14ac:dyDescent="0.2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">
      <c r="A4" s="8" t="s">
        <v>3</v>
      </c>
      <c r="B4" s="9">
        <v>17</v>
      </c>
      <c r="C4" s="10" t="s">
        <v>4</v>
      </c>
      <c r="D4" s="9">
        <v>150</v>
      </c>
      <c r="E4" s="10" t="s">
        <v>5</v>
      </c>
      <c r="F4" s="9">
        <v>470000</v>
      </c>
    </row>
    <row r="5" spans="1:9" x14ac:dyDescent="0.2">
      <c r="A5" s="8" t="s">
        <v>6</v>
      </c>
      <c r="B5" s="9">
        <v>5500</v>
      </c>
      <c r="C5" s="8" t="s">
        <v>7</v>
      </c>
      <c r="D5" s="9">
        <v>6500</v>
      </c>
    </row>
    <row r="6" spans="1:9" x14ac:dyDescent="0.2">
      <c r="A6" s="11" t="s">
        <v>8</v>
      </c>
      <c r="B6" s="12" t="s">
        <v>9</v>
      </c>
      <c r="C6" s="12" t="s">
        <v>10</v>
      </c>
      <c r="D6" s="12" t="s">
        <v>11</v>
      </c>
      <c r="E6" s="13" t="s">
        <v>12</v>
      </c>
      <c r="F6" s="12" t="s">
        <v>13</v>
      </c>
      <c r="G6" s="12" t="s">
        <v>14</v>
      </c>
      <c r="H6" s="12" t="s">
        <v>11</v>
      </c>
      <c r="I6" s="13" t="s">
        <v>12</v>
      </c>
    </row>
    <row r="7" spans="1:9" x14ac:dyDescent="0.2">
      <c r="A7" s="14">
        <v>20</v>
      </c>
      <c r="B7" s="15">
        <f>A7*$D$4*2*PI()+$D$5</f>
        <v>25349.555921538758</v>
      </c>
      <c r="C7" s="15">
        <f>$B$4*B7/($B$5+B7)</f>
        <v>13.969162206489996</v>
      </c>
      <c r="D7" s="15">
        <f>10^(C7/20)</f>
        <v>4.9941100742487459</v>
      </c>
      <c r="E7" s="16">
        <f>D7-$D$18</f>
        <v>-1.6107763528539163</v>
      </c>
      <c r="F7" s="15">
        <f t="shared" ref="F7:F17" si="0">B7*$F$4/(B7+$F$4)</f>
        <v>24052.290227570909</v>
      </c>
      <c r="G7" s="15">
        <f>$B$4*F7/(F7+$B$5)</f>
        <v>13.836116616343702</v>
      </c>
      <c r="H7" s="17">
        <f>10^(G7/20)</f>
        <v>4.9181959837066067</v>
      </c>
      <c r="I7" s="16">
        <f t="shared" ref="I7:I17" si="1">H7-$H$18</f>
        <v>-1.5478803279225035</v>
      </c>
    </row>
    <row r="8" spans="1:9" x14ac:dyDescent="0.2">
      <c r="A8" s="14">
        <f>A7*2</f>
        <v>40</v>
      </c>
      <c r="B8" s="15">
        <f t="shared" ref="B8:B17" si="2">A8*$D$4*2*PI()+$D$5</f>
        <v>44199.111843077517</v>
      </c>
      <c r="C8" s="15">
        <f t="shared" ref="C8:C17" si="3">$B$4*B8/($B$5+B8)</f>
        <v>15.118678653750964</v>
      </c>
      <c r="D8" s="15">
        <f t="shared" ref="D8:D17" si="4">10^(C8/20)</f>
        <v>5.7007754229081256</v>
      </c>
      <c r="E8" s="16">
        <f t="shared" ref="E8:E17" si="5">D8-$D$18</f>
        <v>-0.9041110041945366</v>
      </c>
      <c r="F8" s="15">
        <f t="shared" si="0"/>
        <v>40399.880294982075</v>
      </c>
      <c r="G8" s="15">
        <f t="shared" ref="G8:G17" si="6">$B$4*F8/(F8+$B$5)</f>
        <v>14.962957650453356</v>
      </c>
      <c r="H8" s="17">
        <f t="shared" ref="H8:H17" si="7">10^(G8/20)</f>
        <v>5.5994823818233197</v>
      </c>
      <c r="I8" s="16">
        <f t="shared" si="1"/>
        <v>-0.86659392980579053</v>
      </c>
    </row>
    <row r="9" spans="1:9" x14ac:dyDescent="0.2">
      <c r="A9" s="14">
        <f t="shared" ref="A9:A17" si="8">A8*2</f>
        <v>80</v>
      </c>
      <c r="B9" s="15">
        <f t="shared" si="2"/>
        <v>81898.223686155034</v>
      </c>
      <c r="C9" s="15">
        <f t="shared" si="3"/>
        <v>15.930184206766532</v>
      </c>
      <c r="D9" s="15">
        <f t="shared" si="4"/>
        <v>6.2590613774001564</v>
      </c>
      <c r="E9" s="16">
        <f t="shared" si="5"/>
        <v>-0.34582504970250572</v>
      </c>
      <c r="F9" s="15">
        <f t="shared" si="0"/>
        <v>69745.042619274667</v>
      </c>
      <c r="G9" s="15">
        <f t="shared" si="6"/>
        <v>15.757393221596114</v>
      </c>
      <c r="H9" s="17">
        <f t="shared" si="7"/>
        <v>6.1357783272576132</v>
      </c>
      <c r="I9" s="16">
        <f t="shared" si="1"/>
        <v>-0.33029798437149704</v>
      </c>
    </row>
    <row r="10" spans="1:9" x14ac:dyDescent="0.2">
      <c r="A10" s="14">
        <f t="shared" si="8"/>
        <v>160</v>
      </c>
      <c r="B10" s="15">
        <f t="shared" si="2"/>
        <v>157296.44737231007</v>
      </c>
      <c r="C10" s="15">
        <f t="shared" si="3"/>
        <v>16.425663142475287</v>
      </c>
      <c r="D10" s="15">
        <f t="shared" si="4"/>
        <v>6.6264840525628266</v>
      </c>
      <c r="E10" s="16">
        <f t="shared" si="5"/>
        <v>2.1597625460164416E-2</v>
      </c>
      <c r="F10" s="15">
        <f t="shared" si="0"/>
        <v>117853.89599234816</v>
      </c>
      <c r="G10" s="15">
        <f t="shared" si="6"/>
        <v>16.242018265837345</v>
      </c>
      <c r="H10" s="17">
        <f t="shared" si="7"/>
        <v>6.4878516869208882</v>
      </c>
      <c r="I10" s="16">
        <f t="shared" si="1"/>
        <v>2.1775375291777976E-2</v>
      </c>
    </row>
    <row r="11" spans="1:9" x14ac:dyDescent="0.2">
      <c r="A11" s="14">
        <f t="shared" si="8"/>
        <v>320</v>
      </c>
      <c r="B11" s="15">
        <f t="shared" si="2"/>
        <v>308092.89474462013</v>
      </c>
      <c r="C11" s="15">
        <f t="shared" si="3"/>
        <v>16.701842734427565</v>
      </c>
      <c r="D11" s="15">
        <f t="shared" si="4"/>
        <v>6.8405675633581264</v>
      </c>
      <c r="E11" s="16">
        <f t="shared" si="5"/>
        <v>0.23568113625546427</v>
      </c>
      <c r="F11" s="15">
        <f t="shared" si="0"/>
        <v>186100.73618201827</v>
      </c>
      <c r="G11" s="15">
        <f t="shared" si="6"/>
        <v>16.512006050377718</v>
      </c>
      <c r="H11" s="17">
        <f t="shared" si="7"/>
        <v>6.6926837313161647</v>
      </c>
      <c r="I11" s="16">
        <f t="shared" si="1"/>
        <v>0.22660741968705445</v>
      </c>
    </row>
    <row r="12" spans="1:9" x14ac:dyDescent="0.2">
      <c r="A12" s="14">
        <f t="shared" si="8"/>
        <v>640</v>
      </c>
      <c r="B12" s="15">
        <f t="shared" si="2"/>
        <v>609685.78948924027</v>
      </c>
      <c r="C12" s="15">
        <f t="shared" si="3"/>
        <v>16.848013394331442</v>
      </c>
      <c r="D12" s="15">
        <f t="shared" si="4"/>
        <v>6.9566582629946172</v>
      </c>
      <c r="E12" s="16">
        <f t="shared" si="5"/>
        <v>0.35177183589195504</v>
      </c>
      <c r="F12" s="15">
        <f t="shared" si="0"/>
        <v>265403.43852770375</v>
      </c>
      <c r="G12" s="15">
        <f t="shared" si="6"/>
        <v>16.654858570610433</v>
      </c>
      <c r="H12" s="17">
        <f t="shared" si="7"/>
        <v>6.8036651085372988</v>
      </c>
      <c r="I12" s="16">
        <f t="shared" si="1"/>
        <v>0.33758879690818855</v>
      </c>
    </row>
    <row r="13" spans="1:9" x14ac:dyDescent="0.2">
      <c r="A13" s="14">
        <f t="shared" si="8"/>
        <v>1280</v>
      </c>
      <c r="B13" s="15">
        <f t="shared" si="2"/>
        <v>1212871.5789784805</v>
      </c>
      <c r="C13" s="15">
        <f t="shared" si="3"/>
        <v>16.923258223014038</v>
      </c>
      <c r="D13" s="15">
        <f t="shared" si="4"/>
        <v>7.017184754357733</v>
      </c>
      <c r="E13" s="16">
        <f t="shared" si="5"/>
        <v>0.41229832725507087</v>
      </c>
      <c r="F13" s="15">
        <f t="shared" si="0"/>
        <v>338736.27033734298</v>
      </c>
      <c r="G13" s="15">
        <f t="shared" si="6"/>
        <v>16.728384228924011</v>
      </c>
      <c r="H13" s="17">
        <f t="shared" si="7"/>
        <v>6.8615022714471552</v>
      </c>
      <c r="I13" s="16">
        <f t="shared" si="1"/>
        <v>0.39542595981804496</v>
      </c>
    </row>
    <row r="14" spans="1:9" x14ac:dyDescent="0.2">
      <c r="A14" s="14">
        <f t="shared" si="8"/>
        <v>2560</v>
      </c>
      <c r="B14" s="15">
        <f t="shared" si="2"/>
        <v>2419243.1579569611</v>
      </c>
      <c r="C14" s="15">
        <f t="shared" si="3"/>
        <v>16.961439214832641</v>
      </c>
      <c r="D14" s="15">
        <f t="shared" si="4"/>
        <v>7.0480984327454879</v>
      </c>
      <c r="E14" s="16">
        <f t="shared" si="5"/>
        <v>0.4432120056428257</v>
      </c>
      <c r="F14" s="15">
        <f t="shared" si="0"/>
        <v>393543.99130732816</v>
      </c>
      <c r="G14" s="15">
        <f t="shared" si="6"/>
        <v>16.765689993993696</v>
      </c>
      <c r="H14" s="17">
        <f t="shared" si="7"/>
        <v>6.8910356976871965</v>
      </c>
      <c r="I14" s="16">
        <f t="shared" si="1"/>
        <v>0.42495938605808625</v>
      </c>
    </row>
    <row r="15" spans="1:9" x14ac:dyDescent="0.2">
      <c r="A15" s="14">
        <f t="shared" si="8"/>
        <v>5120</v>
      </c>
      <c r="B15" s="15">
        <f t="shared" si="2"/>
        <v>4831986.3159139222</v>
      </c>
      <c r="C15" s="15">
        <f t="shared" si="3"/>
        <v>16.980671779950587</v>
      </c>
      <c r="D15" s="15">
        <f t="shared" si="4"/>
        <v>7.0637218405229119</v>
      </c>
      <c r="E15" s="16">
        <f t="shared" si="5"/>
        <v>0.45883541342024969</v>
      </c>
      <c r="F15" s="15">
        <f t="shared" si="0"/>
        <v>428336.36927033024</v>
      </c>
      <c r="G15" s="15">
        <f t="shared" si="6"/>
        <v>16.784480954980197</v>
      </c>
      <c r="H15" s="17">
        <f t="shared" si="7"/>
        <v>6.9059598283374362</v>
      </c>
      <c r="I15" s="16">
        <f t="shared" si="1"/>
        <v>0.43988351670832593</v>
      </c>
    </row>
    <row r="16" spans="1:9" x14ac:dyDescent="0.2">
      <c r="A16" s="14">
        <f t="shared" si="8"/>
        <v>10240</v>
      </c>
      <c r="B16" s="15">
        <f t="shared" si="2"/>
        <v>9657472.6318278443</v>
      </c>
      <c r="C16" s="15">
        <f t="shared" si="3"/>
        <v>16.990323888562816</v>
      </c>
      <c r="D16" s="15">
        <f t="shared" si="4"/>
        <v>7.0715756942279988</v>
      </c>
      <c r="E16" s="16">
        <f t="shared" si="5"/>
        <v>0.46668926712533665</v>
      </c>
      <c r="F16" s="15">
        <f t="shared" si="0"/>
        <v>448188.04275947658</v>
      </c>
      <c r="G16" s="15">
        <f t="shared" si="6"/>
        <v>16.793911253575686</v>
      </c>
      <c r="H16" s="17">
        <f t="shared" si="7"/>
        <v>6.913461723035355</v>
      </c>
      <c r="I16" s="16">
        <f t="shared" si="1"/>
        <v>0.44738541140624477</v>
      </c>
    </row>
    <row r="17" spans="1:9" x14ac:dyDescent="0.2">
      <c r="A17" s="14">
        <f t="shared" si="8"/>
        <v>20480</v>
      </c>
      <c r="B17" s="15">
        <f t="shared" si="2"/>
        <v>19308445.263655689</v>
      </c>
      <c r="C17" s="15">
        <f t="shared" si="3"/>
        <v>16.995158938335816</v>
      </c>
      <c r="D17" s="15">
        <f t="shared" si="4"/>
        <v>7.0755132228025541</v>
      </c>
      <c r="E17" s="16">
        <f t="shared" si="5"/>
        <v>0.47062679569989196</v>
      </c>
      <c r="F17" s="15">
        <f t="shared" si="0"/>
        <v>458831.27581287094</v>
      </c>
      <c r="G17" s="15">
        <f t="shared" si="6"/>
        <v>16.798635145056046</v>
      </c>
      <c r="H17" s="17">
        <f t="shared" si="7"/>
        <v>6.9172226878511767</v>
      </c>
      <c r="I17" s="16">
        <f t="shared" si="1"/>
        <v>0.45114637622206644</v>
      </c>
    </row>
    <row r="18" spans="1:9" x14ac:dyDescent="0.2">
      <c r="C18" s="18" t="s">
        <v>15</v>
      </c>
      <c r="D18" s="19">
        <f>AVERAGE(D7:D17)</f>
        <v>6.6048864271026622</v>
      </c>
      <c r="F18" s="18"/>
      <c r="G18" s="18" t="s">
        <v>15</v>
      </c>
      <c r="H18" s="19">
        <f>AVERAGE(H7:H17)</f>
        <v>6.4660763116291102</v>
      </c>
    </row>
    <row r="19" spans="1:9" x14ac:dyDescent="0.2">
      <c r="C19" s="18"/>
      <c r="D19" s="19"/>
      <c r="E19" s="18"/>
    </row>
    <row r="20" spans="1:9" x14ac:dyDescent="0.2">
      <c r="A20" s="5" t="s">
        <v>16</v>
      </c>
      <c r="B20" s="6"/>
      <c r="C20" s="6"/>
      <c r="D20" s="6"/>
      <c r="E20" s="6"/>
      <c r="F20" s="6"/>
      <c r="G20" s="6"/>
      <c r="H20" s="20"/>
    </row>
    <row r="21" spans="1:9" x14ac:dyDescent="0.2">
      <c r="A21" s="11" t="s">
        <v>8</v>
      </c>
      <c r="B21" s="12" t="s">
        <v>17</v>
      </c>
      <c r="C21" s="12" t="s">
        <v>18</v>
      </c>
      <c r="D21" s="12" t="s">
        <v>19</v>
      </c>
      <c r="E21" s="12" t="s">
        <v>14</v>
      </c>
      <c r="F21" s="12" t="s">
        <v>11</v>
      </c>
      <c r="G21" s="13" t="s">
        <v>12</v>
      </c>
    </row>
    <row r="22" spans="1:9" x14ac:dyDescent="0.2">
      <c r="A22" s="14">
        <v>20</v>
      </c>
      <c r="B22" s="21">
        <f t="shared" ref="B22:B32" si="9">1000000000000/(2*PI()*$F$37*A22)</f>
        <v>83765759.522050172</v>
      </c>
      <c r="C22" s="22">
        <f>B22*$F$4/(B22+$F$4)</f>
        <v>467377.59828778921</v>
      </c>
      <c r="D22" s="16">
        <f t="shared" ref="D22:D32" si="10">(B7*C22)/(C22+B7)</f>
        <v>24045.385895735348</v>
      </c>
      <c r="E22" s="21">
        <f>$B$4*D22/(D22+$B$5)</f>
        <v>13.835377262292045</v>
      </c>
      <c r="F22" s="22">
        <f>10^(E22/20)</f>
        <v>4.9177773583820237</v>
      </c>
      <c r="G22" s="16">
        <f t="shared" ref="G22:G32" si="11">F22-$F$33</f>
        <v>-1.4002149193084952</v>
      </c>
    </row>
    <row r="23" spans="1:9" x14ac:dyDescent="0.2">
      <c r="A23" s="14">
        <f>A22*2</f>
        <v>40</v>
      </c>
      <c r="B23" s="21">
        <f t="shared" si="9"/>
        <v>41882879.761025086</v>
      </c>
      <c r="C23" s="22">
        <f t="shared" ref="C23:C32" si="12">B23*$F$4/(B23+$F$4)</f>
        <v>464784.29799233435</v>
      </c>
      <c r="D23" s="16">
        <f t="shared" si="10"/>
        <v>40360.948457067367</v>
      </c>
      <c r="E23" s="21">
        <f t="shared" ref="E23:E32" si="13">$B$4*D23/(D23+$B$5)</f>
        <v>14.961228383936939</v>
      </c>
      <c r="F23" s="22">
        <f t="shared" ref="F23:F32" si="14">10^(E23/20)</f>
        <v>5.5983676965153517</v>
      </c>
      <c r="G23" s="16">
        <f t="shared" si="11"/>
        <v>-0.71962458117516714</v>
      </c>
    </row>
    <row r="24" spans="1:9" x14ac:dyDescent="0.2">
      <c r="A24" s="14">
        <f t="shared" ref="A24:A32" si="15">A23*2</f>
        <v>80</v>
      </c>
      <c r="B24" s="21">
        <f t="shared" si="9"/>
        <v>20941439.880512543</v>
      </c>
      <c r="C24" s="22">
        <f t="shared" si="12"/>
        <v>459683.08524635696</v>
      </c>
      <c r="D24" s="16">
        <f t="shared" si="10"/>
        <v>69513.529214021211</v>
      </c>
      <c r="E24" s="21">
        <f t="shared" si="13"/>
        <v>15.753558178375597</v>
      </c>
      <c r="F24" s="22">
        <f t="shared" si="14"/>
        <v>6.1330698216172514</v>
      </c>
      <c r="G24" s="16">
        <f t="shared" si="11"/>
        <v>-0.1849224560732674</v>
      </c>
    </row>
    <row r="25" spans="1:9" x14ac:dyDescent="0.2">
      <c r="A25" s="14">
        <f t="shared" si="15"/>
        <v>160</v>
      </c>
      <c r="B25" s="21">
        <f t="shared" si="9"/>
        <v>10470719.940256272</v>
      </c>
      <c r="C25" s="22">
        <f t="shared" si="12"/>
        <v>449809.37258185353</v>
      </c>
      <c r="D25" s="16">
        <f t="shared" si="10"/>
        <v>116542.14796892444</v>
      </c>
      <c r="E25" s="21">
        <f t="shared" si="13"/>
        <v>16.233871235830691</v>
      </c>
      <c r="F25" s="22">
        <f t="shared" si="14"/>
        <v>6.4817691848932384</v>
      </c>
      <c r="G25" s="16">
        <f t="shared" si="11"/>
        <v>0.16377690720271953</v>
      </c>
    </row>
    <row r="26" spans="1:9" x14ac:dyDescent="0.2">
      <c r="A26" s="14">
        <f t="shared" si="15"/>
        <v>320</v>
      </c>
      <c r="B26" s="21">
        <f t="shared" si="9"/>
        <v>5235359.9701281358</v>
      </c>
      <c r="C26" s="22">
        <f t="shared" si="12"/>
        <v>431282.02231645712</v>
      </c>
      <c r="D26" s="16">
        <f t="shared" si="10"/>
        <v>179712.51612774795</v>
      </c>
      <c r="E26" s="21">
        <f t="shared" si="13"/>
        <v>16.495174505725576</v>
      </c>
      <c r="F26" s="22">
        <f t="shared" si="14"/>
        <v>6.6797271851019575</v>
      </c>
      <c r="G26" s="16">
        <f t="shared" si="11"/>
        <v>0.36173490741143866</v>
      </c>
    </row>
    <row r="27" spans="1:9" x14ac:dyDescent="0.2">
      <c r="A27" s="14">
        <f t="shared" si="15"/>
        <v>640</v>
      </c>
      <c r="B27" s="21">
        <f t="shared" si="9"/>
        <v>2617679.9850640679</v>
      </c>
      <c r="C27" s="22">
        <f t="shared" si="12"/>
        <v>398457.61184172181</v>
      </c>
      <c r="D27" s="16">
        <f t="shared" si="10"/>
        <v>240971.61508272865</v>
      </c>
      <c r="E27" s="21">
        <f t="shared" si="13"/>
        <v>16.620645971875437</v>
      </c>
      <c r="F27" s="22">
        <f>10^(E27/20)</f>
        <v>6.7769190586019361</v>
      </c>
      <c r="G27" s="16">
        <f t="shared" si="11"/>
        <v>0.45892678091141725</v>
      </c>
    </row>
    <row r="28" spans="1:9" x14ac:dyDescent="0.2">
      <c r="A28" s="14">
        <f t="shared" si="15"/>
        <v>1280</v>
      </c>
      <c r="B28" s="21">
        <f t="shared" si="9"/>
        <v>1308839.9925320339</v>
      </c>
      <c r="C28" s="22">
        <f t="shared" si="12"/>
        <v>345817.94825426268</v>
      </c>
      <c r="D28" s="16">
        <f t="shared" si="10"/>
        <v>269093.20529207378</v>
      </c>
      <c r="E28" s="21">
        <f t="shared" si="13"/>
        <v>16.659496308728588</v>
      </c>
      <c r="F28" s="22">
        <f t="shared" si="14"/>
        <v>6.8072988229511671</v>
      </c>
      <c r="G28" s="16">
        <f t="shared" si="11"/>
        <v>0.48930654526064821</v>
      </c>
    </row>
    <row r="29" spans="1:9" x14ac:dyDescent="0.2">
      <c r="A29" s="14">
        <f t="shared" si="15"/>
        <v>2560</v>
      </c>
      <c r="B29" s="21">
        <f t="shared" si="9"/>
        <v>654419.99626601697</v>
      </c>
      <c r="C29" s="22">
        <f t="shared" si="12"/>
        <v>273543.15937677509</v>
      </c>
      <c r="D29" s="16">
        <f t="shared" si="10"/>
        <v>245755.63700258368</v>
      </c>
      <c r="E29" s="21">
        <f t="shared" si="13"/>
        <v>16.627869045584681</v>
      </c>
      <c r="F29" s="22">
        <f t="shared" si="14"/>
        <v>6.7825570009126039</v>
      </c>
      <c r="G29" s="16">
        <f t="shared" si="11"/>
        <v>0.46456472322208509</v>
      </c>
    </row>
    <row r="30" spans="1:9" x14ac:dyDescent="0.2">
      <c r="A30" s="14">
        <f t="shared" si="15"/>
        <v>5120</v>
      </c>
      <c r="B30" s="21">
        <f t="shared" si="9"/>
        <v>327209.99813300848</v>
      </c>
      <c r="C30" s="22">
        <f t="shared" si="12"/>
        <v>192908.64324666371</v>
      </c>
      <c r="D30" s="16">
        <f t="shared" si="10"/>
        <v>185502.76811062201</v>
      </c>
      <c r="E30" s="21">
        <f t="shared" si="13"/>
        <v>16.510478298692259</v>
      </c>
      <c r="F30" s="22">
        <f t="shared" si="14"/>
        <v>6.6915066659701123</v>
      </c>
      <c r="G30" s="16">
        <f t="shared" si="11"/>
        <v>0.37351438827959349</v>
      </c>
    </row>
    <row r="31" spans="1:9" x14ac:dyDescent="0.2">
      <c r="A31" s="14">
        <f t="shared" si="15"/>
        <v>10240</v>
      </c>
      <c r="B31" s="21">
        <f t="shared" si="9"/>
        <v>163604.99906650424</v>
      </c>
      <c r="C31" s="22">
        <f t="shared" si="12"/>
        <v>121360.0739807074</v>
      </c>
      <c r="D31" s="16">
        <f t="shared" si="10"/>
        <v>119853.93638742856</v>
      </c>
      <c r="E31" s="21">
        <f t="shared" si="13"/>
        <v>16.2541119753031</v>
      </c>
      <c r="F31" s="22">
        <f t="shared" si="14"/>
        <v>6.4968912723871979</v>
      </c>
      <c r="G31" s="16">
        <f t="shared" si="11"/>
        <v>0.17889899469667903</v>
      </c>
    </row>
    <row r="32" spans="1:9" x14ac:dyDescent="0.2">
      <c r="A32" s="14">
        <f t="shared" si="15"/>
        <v>20480</v>
      </c>
      <c r="B32" s="21">
        <f t="shared" si="9"/>
        <v>81802.499533252121</v>
      </c>
      <c r="C32" s="22">
        <f t="shared" si="12"/>
        <v>69675.608235101216</v>
      </c>
      <c r="D32" s="16">
        <f t="shared" si="10"/>
        <v>69425.083923945043</v>
      </c>
      <c r="E32" s="21">
        <f t="shared" si="13"/>
        <v>15.752086816547179</v>
      </c>
      <c r="F32" s="22">
        <f t="shared" si="14"/>
        <v>6.1320309872628727</v>
      </c>
      <c r="G32" s="16">
        <f t="shared" si="11"/>
        <v>-0.1859612904276462</v>
      </c>
    </row>
    <row r="33" spans="1:9" x14ac:dyDescent="0.2">
      <c r="C33" s="10"/>
      <c r="D33" s="16"/>
      <c r="E33" s="18" t="s">
        <v>15</v>
      </c>
      <c r="F33" s="19">
        <f>AVERAGE(F22:F32)</f>
        <v>6.3179922776905189</v>
      </c>
    </row>
    <row r="35" spans="1:9" ht="18" x14ac:dyDescent="0.25">
      <c r="A35" s="2" t="s">
        <v>20</v>
      </c>
      <c r="B35" s="3"/>
      <c r="C35" s="3"/>
      <c r="D35" s="3"/>
      <c r="E35" s="3"/>
      <c r="F35" s="3"/>
      <c r="G35" s="3"/>
      <c r="H35" s="3"/>
      <c r="I35" s="4"/>
    </row>
    <row r="36" spans="1:9" x14ac:dyDescent="0.2">
      <c r="A36" s="10" t="s">
        <v>3</v>
      </c>
      <c r="B36" s="9">
        <v>8</v>
      </c>
      <c r="C36" s="10" t="s">
        <v>4</v>
      </c>
      <c r="D36" s="9">
        <v>10</v>
      </c>
      <c r="E36" s="10" t="s">
        <v>21</v>
      </c>
      <c r="F36" s="23">
        <v>5000</v>
      </c>
      <c r="G36" s="19"/>
    </row>
    <row r="37" spans="1:9" x14ac:dyDescent="0.2">
      <c r="A37" s="10" t="s">
        <v>6</v>
      </c>
      <c r="B37" s="9">
        <v>1600</v>
      </c>
      <c r="C37" s="10" t="s">
        <v>7</v>
      </c>
      <c r="D37" s="9">
        <v>150</v>
      </c>
      <c r="E37" s="10" t="s">
        <v>22</v>
      </c>
      <c r="F37" s="9">
        <v>95</v>
      </c>
    </row>
    <row r="38" spans="1:9" x14ac:dyDescent="0.2">
      <c r="A38" s="11" t="s">
        <v>8</v>
      </c>
      <c r="B38" s="12" t="s">
        <v>23</v>
      </c>
      <c r="C38" s="12" t="s">
        <v>24</v>
      </c>
      <c r="D38" s="12" t="s">
        <v>25</v>
      </c>
      <c r="E38" s="12" t="s">
        <v>11</v>
      </c>
      <c r="F38" s="13" t="s">
        <v>12</v>
      </c>
      <c r="G38" s="12" t="s">
        <v>26</v>
      </c>
      <c r="H38" s="13" t="s">
        <v>12</v>
      </c>
      <c r="I38" s="13" t="s">
        <v>27</v>
      </c>
    </row>
    <row r="39" spans="1:9" x14ac:dyDescent="0.2">
      <c r="A39" s="14">
        <v>20</v>
      </c>
      <c r="B39" s="16">
        <f>A39*2*PI()*$D$36+$D$37</f>
        <v>1406.6370614359173</v>
      </c>
      <c r="C39" s="22">
        <f>B39*$F$36/(B39+$F$36)</f>
        <v>1097.7967441788003</v>
      </c>
      <c r="D39" s="24">
        <f t="shared" ref="D39:D49" si="16">$B$36*C39/($B$37+C39)</f>
        <v>3.2553875574135311</v>
      </c>
      <c r="E39" s="24">
        <f>10^(D39/20)</f>
        <v>1.4546863975765301</v>
      </c>
      <c r="F39" s="24">
        <f t="shared" ref="F39:F49" si="17">E39-$E$50</f>
        <v>-0.41822715665425214</v>
      </c>
      <c r="G39" s="22">
        <f t="shared" ref="G39:G49" si="18">F22+E39</f>
        <v>6.3724637559585542</v>
      </c>
      <c r="H39" s="24">
        <f>G39-$G$50</f>
        <v>-1.8184420759627464</v>
      </c>
      <c r="I39" s="25">
        <v>-2.5</v>
      </c>
    </row>
    <row r="40" spans="1:9" x14ac:dyDescent="0.2">
      <c r="A40" s="14">
        <f>A39*2</f>
        <v>40</v>
      </c>
      <c r="B40" s="16">
        <f t="shared" ref="B40:B49" si="19">A40*2*PI()*$D$36+$D$37</f>
        <v>2663.2741228718346</v>
      </c>
      <c r="C40" s="22">
        <f t="shared" ref="C40:C49" si="20">B40*$F$36/(B40+$F$36)</f>
        <v>1737.6868425749103</v>
      </c>
      <c r="D40" s="26">
        <f t="shared" si="16"/>
        <v>4.1650087010184453</v>
      </c>
      <c r="E40" s="26">
        <f t="shared" ref="E40:E49" si="21">10^(D40/20)</f>
        <v>1.6152897419410264</v>
      </c>
      <c r="F40" s="26">
        <f t="shared" si="17"/>
        <v>-0.25762381228975584</v>
      </c>
      <c r="G40" s="22">
        <f t="shared" si="18"/>
        <v>7.2136574384563783</v>
      </c>
      <c r="H40" s="26">
        <f t="shared" ref="H40:H49" si="22">G40-$G$50</f>
        <v>-0.97724839346492232</v>
      </c>
      <c r="I40" s="25">
        <v>-2.5</v>
      </c>
    </row>
    <row r="41" spans="1:9" x14ac:dyDescent="0.2">
      <c r="A41" s="14">
        <f t="shared" ref="A41:A49" si="23">A40*2</f>
        <v>80</v>
      </c>
      <c r="B41" s="16">
        <f t="shared" si="19"/>
        <v>5176.5482457436692</v>
      </c>
      <c r="C41" s="22">
        <f t="shared" si="20"/>
        <v>2543.3713478972377</v>
      </c>
      <c r="D41" s="26">
        <f t="shared" si="16"/>
        <v>4.910728263230375</v>
      </c>
      <c r="E41" s="26">
        <f t="shared" si="21"/>
        <v>1.7600962318326148</v>
      </c>
      <c r="F41" s="26">
        <f t="shared" si="17"/>
        <v>-0.11281732239816744</v>
      </c>
      <c r="G41" s="22">
        <f t="shared" si="18"/>
        <v>7.8931660534498658</v>
      </c>
      <c r="H41" s="26">
        <f t="shared" si="22"/>
        <v>-0.29773977847143485</v>
      </c>
      <c r="I41" s="25">
        <v>-2.5</v>
      </c>
    </row>
    <row r="42" spans="1:9" x14ac:dyDescent="0.2">
      <c r="A42" s="14">
        <f t="shared" si="23"/>
        <v>160</v>
      </c>
      <c r="B42" s="16">
        <f t="shared" si="19"/>
        <v>10203.096491487338</v>
      </c>
      <c r="C42" s="22">
        <f t="shared" si="20"/>
        <v>3355.5981497586208</v>
      </c>
      <c r="D42" s="26">
        <f t="shared" si="16"/>
        <v>5.4170625597187563</v>
      </c>
      <c r="E42" s="26">
        <f t="shared" si="21"/>
        <v>1.8657486153562959</v>
      </c>
      <c r="F42" s="26">
        <f t="shared" si="17"/>
        <v>-7.1649388744863263E-3</v>
      </c>
      <c r="G42" s="22">
        <f t="shared" si="18"/>
        <v>8.347517800249534</v>
      </c>
      <c r="H42" s="26">
        <f t="shared" si="22"/>
        <v>0.15661196832823343</v>
      </c>
      <c r="I42" s="25">
        <v>-2.5</v>
      </c>
    </row>
    <row r="43" spans="1:9" x14ac:dyDescent="0.2">
      <c r="A43" s="14">
        <f t="shared" si="23"/>
        <v>320</v>
      </c>
      <c r="B43" s="16">
        <f t="shared" si="19"/>
        <v>20256.192982974677</v>
      </c>
      <c r="C43" s="22">
        <f t="shared" si="20"/>
        <v>4010.14376882325</v>
      </c>
      <c r="D43" s="26">
        <f t="shared" si="16"/>
        <v>5.7184185419396387</v>
      </c>
      <c r="E43" s="26">
        <f t="shared" si="21"/>
        <v>1.9316165915326478</v>
      </c>
      <c r="F43" s="26">
        <f t="shared" si="17"/>
        <v>5.8703037301865546E-2</v>
      </c>
      <c r="G43" s="22">
        <f t="shared" si="18"/>
        <v>8.6113437766346053</v>
      </c>
      <c r="H43" s="26">
        <f t="shared" si="22"/>
        <v>0.42043794471330465</v>
      </c>
      <c r="I43" s="25">
        <v>-2.5</v>
      </c>
    </row>
    <row r="44" spans="1:9" x14ac:dyDescent="0.2">
      <c r="A44" s="14">
        <f t="shared" si="23"/>
        <v>640</v>
      </c>
      <c r="B44" s="16">
        <f t="shared" si="19"/>
        <v>40362.385965949354</v>
      </c>
      <c r="C44" s="22">
        <f t="shared" si="20"/>
        <v>4448.8826046591576</v>
      </c>
      <c r="D44" s="26">
        <f t="shared" si="16"/>
        <v>5.8839066920986713</v>
      </c>
      <c r="E44" s="26">
        <f t="shared" si="21"/>
        <v>1.9687715939549331</v>
      </c>
      <c r="F44" s="26">
        <f t="shared" si="17"/>
        <v>9.5858039724150856E-2</v>
      </c>
      <c r="G44" s="22">
        <f t="shared" si="18"/>
        <v>8.7456906525568687</v>
      </c>
      <c r="H44" s="26">
        <f t="shared" si="22"/>
        <v>0.55478482063556811</v>
      </c>
      <c r="I44" s="25">
        <v>-2.5</v>
      </c>
    </row>
    <row r="45" spans="1:9" x14ac:dyDescent="0.2">
      <c r="A45" s="14">
        <f t="shared" si="23"/>
        <v>1280</v>
      </c>
      <c r="B45" s="16">
        <f t="shared" si="19"/>
        <v>80574.771931898707</v>
      </c>
      <c r="C45" s="22">
        <f t="shared" si="20"/>
        <v>4707.8578249686107</v>
      </c>
      <c r="D45" s="26">
        <f t="shared" si="16"/>
        <v>5.9707849550233485</v>
      </c>
      <c r="E45" s="26">
        <f t="shared" si="21"/>
        <v>1.9885625112296961</v>
      </c>
      <c r="F45" s="26">
        <f t="shared" si="17"/>
        <v>0.11564895699891387</v>
      </c>
      <c r="G45" s="22">
        <f t="shared" si="18"/>
        <v>8.7958613341808629</v>
      </c>
      <c r="H45" s="26">
        <f t="shared" si="22"/>
        <v>0.60495550225956229</v>
      </c>
      <c r="I45" s="25">
        <v>-2.5</v>
      </c>
    </row>
    <row r="46" spans="1:9" x14ac:dyDescent="0.2">
      <c r="A46" s="14">
        <f t="shared" si="23"/>
        <v>2560</v>
      </c>
      <c r="B46" s="16">
        <f t="shared" si="19"/>
        <v>160999.54386379741</v>
      </c>
      <c r="C46" s="22">
        <f t="shared" si="20"/>
        <v>4849.3971765337355</v>
      </c>
      <c r="D46" s="26">
        <f t="shared" si="16"/>
        <v>6.0153183856356272</v>
      </c>
      <c r="E46" s="26">
        <f t="shared" si="21"/>
        <v>1.9987842529778872</v>
      </c>
      <c r="F46" s="26">
        <f t="shared" si="17"/>
        <v>0.12587069874710499</v>
      </c>
      <c r="G46" s="22">
        <f t="shared" si="18"/>
        <v>8.781341253890492</v>
      </c>
      <c r="H46" s="26">
        <f t="shared" si="22"/>
        <v>0.59043542196919141</v>
      </c>
      <c r="I46" s="25">
        <v>-2.5</v>
      </c>
    </row>
    <row r="47" spans="1:9" x14ac:dyDescent="0.2">
      <c r="A47" s="14">
        <f t="shared" si="23"/>
        <v>5120</v>
      </c>
      <c r="B47" s="16">
        <f t="shared" si="19"/>
        <v>321849.08772759483</v>
      </c>
      <c r="C47" s="22">
        <f t="shared" si="20"/>
        <v>4923.512101031668</v>
      </c>
      <c r="D47" s="26">
        <f t="shared" si="16"/>
        <v>6.0378667500324354</v>
      </c>
      <c r="E47" s="26">
        <f t="shared" si="21"/>
        <v>2.0039797905291064</v>
      </c>
      <c r="F47" s="26">
        <f t="shared" si="17"/>
        <v>0.13106623629832415</v>
      </c>
      <c r="G47" s="22">
        <f t="shared" si="18"/>
        <v>8.6954864564992178</v>
      </c>
      <c r="H47" s="26">
        <f t="shared" si="22"/>
        <v>0.50458062457791719</v>
      </c>
      <c r="I47" s="25">
        <v>-2.5</v>
      </c>
    </row>
    <row r="48" spans="1:9" x14ac:dyDescent="0.2">
      <c r="A48" s="14">
        <f t="shared" si="23"/>
        <v>10240</v>
      </c>
      <c r="B48" s="16">
        <f t="shared" si="19"/>
        <v>643548.17545518966</v>
      </c>
      <c r="C48" s="22">
        <f t="shared" si="20"/>
        <v>4961.4523624517897</v>
      </c>
      <c r="D48" s="26">
        <f t="shared" si="16"/>
        <v>6.0492123857747435</v>
      </c>
      <c r="E48" s="26">
        <f t="shared" si="21"/>
        <v>2.0065991284989311</v>
      </c>
      <c r="F48" s="26">
        <f t="shared" si="17"/>
        <v>0.13368557426814887</v>
      </c>
      <c r="G48" s="22">
        <f t="shared" si="18"/>
        <v>8.503490400886129</v>
      </c>
      <c r="H48" s="26">
        <f t="shared" si="22"/>
        <v>0.31258456896482834</v>
      </c>
      <c r="I48" s="25">
        <v>-2.5</v>
      </c>
    </row>
    <row r="49" spans="1:9" x14ac:dyDescent="0.2">
      <c r="A49" s="14">
        <f t="shared" si="23"/>
        <v>20480</v>
      </c>
      <c r="B49" s="16">
        <f t="shared" si="19"/>
        <v>1286946.3509103793</v>
      </c>
      <c r="C49" s="22">
        <f t="shared" si="20"/>
        <v>4980.6493512812021</v>
      </c>
      <c r="D49" s="26">
        <f t="shared" si="16"/>
        <v>6.0549031992552624</v>
      </c>
      <c r="E49" s="26">
        <f t="shared" si="21"/>
        <v>2.0079142411089359</v>
      </c>
      <c r="F49" s="26">
        <f t="shared" si="17"/>
        <v>0.1350006868781537</v>
      </c>
      <c r="G49" s="22">
        <f t="shared" si="18"/>
        <v>8.1399452283718077</v>
      </c>
      <c r="H49" s="26">
        <f t="shared" si="22"/>
        <v>-5.0960603549492944E-2</v>
      </c>
      <c r="I49" s="25">
        <v>-2.5</v>
      </c>
    </row>
    <row r="50" spans="1:9" x14ac:dyDescent="0.2">
      <c r="D50" s="10" t="s">
        <v>15</v>
      </c>
      <c r="E50" s="16">
        <f>AVERAGE(E39:E49)</f>
        <v>1.8729135542307822</v>
      </c>
      <c r="F50" s="10" t="s">
        <v>15</v>
      </c>
      <c r="G50" s="16">
        <f>AVERAGE(G39:G49)</f>
        <v>8.1909058319213006</v>
      </c>
      <c r="H50" s="27"/>
    </row>
    <row r="51" spans="1:9" x14ac:dyDescent="0.2">
      <c r="A51" s="28" t="s">
        <v>28</v>
      </c>
      <c r="B51" s="29"/>
      <c r="C51" s="29"/>
      <c r="D51" s="29"/>
    </row>
    <row r="52" spans="1:9" x14ac:dyDescent="0.2">
      <c r="A52" s="10" t="s">
        <v>29</v>
      </c>
      <c r="B52" s="9">
        <v>1.25</v>
      </c>
      <c r="C52" s="27" t="s">
        <v>30</v>
      </c>
      <c r="D52" s="30">
        <f>((B52/0.35)*D45*E28)^2/(8*F36)</f>
        <v>3.1550811854732337</v>
      </c>
    </row>
  </sheetData>
  <mergeCells count="6">
    <mergeCell ref="A1:H1"/>
    <mergeCell ref="A2:I2"/>
    <mergeCell ref="A3:I3"/>
    <mergeCell ref="A20:G20"/>
    <mergeCell ref="A35:I35"/>
    <mergeCell ref="A51:D5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Two Stage 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Timothy Cose</dc:creator>
  <cp:lastModifiedBy>Timothy Cose</cp:lastModifiedBy>
  <dcterms:created xsi:type="dcterms:W3CDTF">2017-02-24T14:13:12Z</dcterms:created>
  <dcterms:modified xsi:type="dcterms:W3CDTF">2017-02-24T14:13:29Z</dcterms:modified>
</cp:coreProperties>
</file>