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othyC\Desktop\misc\choke loaded\"/>
    </mc:Choice>
  </mc:AlternateContent>
  <bookViews>
    <workbookView xWindow="0" yWindow="0" windowWidth="24000" windowHeight="9900"/>
  </bookViews>
  <sheets>
    <sheet name="Two Stage SET" sheetId="1" r:id="rId1"/>
  </sheets>
  <externalReferences>
    <externalReference r:id="rId2"/>
  </externalReferences>
  <definedNames>
    <definedName name="solver_adj" localSheetId="0" hidden="1">'Two Stage SET'!$B$4,'Two Stage SET'!$B$5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'Two Stage SET'!$B$4</definedName>
    <definedName name="solver_lhs2" localSheetId="0" hidden="1">'Two Stage SET'!$B$5</definedName>
    <definedName name="solver_lhs3" localSheetId="0" hidden="1">'Two Stage SET'!$F$4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opt" localSheetId="0" hidden="1">'Two Stage SET'!$D$33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el3" localSheetId="0" hidden="1">3</definedName>
    <definedName name="solver_rhs1" localSheetId="0" hidden="1">15</definedName>
    <definedName name="solver_rhs2" localSheetId="0" hidden="1">1000</definedName>
    <definedName name="solver_rhs3" localSheetId="0" hidden="1">100000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1" i="1" l="1"/>
  <c r="B41" i="1" s="1"/>
  <c r="C41" i="1" s="1"/>
  <c r="D41" i="1" s="1"/>
  <c r="E41" i="1" s="1"/>
  <c r="A40" i="1"/>
  <c r="B40" i="1" s="1"/>
  <c r="C40" i="1" s="1"/>
  <c r="D40" i="1" s="1"/>
  <c r="E40" i="1" s="1"/>
  <c r="B39" i="1"/>
  <c r="C39" i="1" s="1"/>
  <c r="D39" i="1" s="1"/>
  <c r="E39" i="1" s="1"/>
  <c r="A25" i="1"/>
  <c r="A26" i="1" s="1"/>
  <c r="A27" i="1" s="1"/>
  <c r="A24" i="1"/>
  <c r="B24" i="1" s="1"/>
  <c r="C24" i="1" s="1"/>
  <c r="A23" i="1"/>
  <c r="B23" i="1" s="1"/>
  <c r="C23" i="1" s="1"/>
  <c r="B22" i="1"/>
  <c r="C22" i="1" s="1"/>
  <c r="A9" i="1"/>
  <c r="B8" i="1"/>
  <c r="C8" i="1" s="1"/>
  <c r="D8" i="1" s="1"/>
  <c r="A8" i="1"/>
  <c r="F7" i="1"/>
  <c r="G7" i="1" s="1"/>
  <c r="H7" i="1" s="1"/>
  <c r="C7" i="1"/>
  <c r="D7" i="1" s="1"/>
  <c r="B7" i="1"/>
  <c r="A10" i="1" l="1"/>
  <c r="B9" i="1"/>
  <c r="A28" i="1"/>
  <c r="B27" i="1"/>
  <c r="C27" i="1" s="1"/>
  <c r="B26" i="1"/>
  <c r="C26" i="1" s="1"/>
  <c r="B25" i="1"/>
  <c r="C25" i="1" s="1"/>
  <c r="F8" i="1"/>
  <c r="G8" i="1" s="1"/>
  <c r="H8" i="1" s="1"/>
  <c r="A42" i="1"/>
  <c r="D22" i="1"/>
  <c r="E22" i="1" s="1"/>
  <c r="F22" i="1" s="1"/>
  <c r="D23" i="1"/>
  <c r="E23" i="1" s="1"/>
  <c r="F23" i="1" s="1"/>
  <c r="G40" i="1" l="1"/>
  <c r="F9" i="1"/>
  <c r="G9" i="1" s="1"/>
  <c r="H9" i="1" s="1"/>
  <c r="C9" i="1"/>
  <c r="D9" i="1" s="1"/>
  <c r="D24" i="1"/>
  <c r="E24" i="1" s="1"/>
  <c r="F24" i="1" s="1"/>
  <c r="A11" i="1"/>
  <c r="B10" i="1"/>
  <c r="B42" i="1"/>
  <c r="C42" i="1" s="1"/>
  <c r="D42" i="1" s="1"/>
  <c r="E42" i="1" s="1"/>
  <c r="A43" i="1"/>
  <c r="B28" i="1"/>
  <c r="C28" i="1" s="1"/>
  <c r="A29" i="1"/>
  <c r="G39" i="1"/>
  <c r="D25" i="1" l="1"/>
  <c r="E25" i="1" s="1"/>
  <c r="F25" i="1" s="1"/>
  <c r="F10" i="1"/>
  <c r="G10" i="1" s="1"/>
  <c r="H10" i="1" s="1"/>
  <c r="C10" i="1"/>
  <c r="D10" i="1" s="1"/>
  <c r="B11" i="1"/>
  <c r="A12" i="1"/>
  <c r="B43" i="1"/>
  <c r="C43" i="1" s="1"/>
  <c r="D43" i="1" s="1"/>
  <c r="E43" i="1" s="1"/>
  <c r="A44" i="1"/>
  <c r="G41" i="1"/>
  <c r="B29" i="1"/>
  <c r="C29" i="1" s="1"/>
  <c r="A30" i="1"/>
  <c r="B44" i="1" l="1"/>
  <c r="C44" i="1" s="1"/>
  <c r="D44" i="1" s="1"/>
  <c r="E44" i="1" s="1"/>
  <c r="A45" i="1"/>
  <c r="A13" i="1"/>
  <c r="B12" i="1"/>
  <c r="D26" i="1"/>
  <c r="E26" i="1" s="1"/>
  <c r="F26" i="1" s="1"/>
  <c r="F11" i="1"/>
  <c r="G11" i="1" s="1"/>
  <c r="H11" i="1" s="1"/>
  <c r="C11" i="1"/>
  <c r="D11" i="1" s="1"/>
  <c r="G42" i="1"/>
  <c r="A31" i="1"/>
  <c r="B30" i="1"/>
  <c r="C30" i="1" s="1"/>
  <c r="A32" i="1" l="1"/>
  <c r="B32" i="1" s="1"/>
  <c r="C32" i="1" s="1"/>
  <c r="B31" i="1"/>
  <c r="C31" i="1" s="1"/>
  <c r="C12" i="1"/>
  <c r="D12" i="1" s="1"/>
  <c r="D27" i="1"/>
  <c r="E27" i="1" s="1"/>
  <c r="F27" i="1" s="1"/>
  <c r="F12" i="1"/>
  <c r="G12" i="1" s="1"/>
  <c r="H12" i="1" s="1"/>
  <c r="G43" i="1"/>
  <c r="B45" i="1"/>
  <c r="C45" i="1" s="1"/>
  <c r="D45" i="1" s="1"/>
  <c r="A46" i="1"/>
  <c r="A14" i="1"/>
  <c r="B13" i="1"/>
  <c r="A15" i="1" l="1"/>
  <c r="B14" i="1"/>
  <c r="G44" i="1"/>
  <c r="F13" i="1"/>
  <c r="G13" i="1" s="1"/>
  <c r="H13" i="1" s="1"/>
  <c r="C13" i="1"/>
  <c r="D13" i="1" s="1"/>
  <c r="D28" i="1"/>
  <c r="E28" i="1" s="1"/>
  <c r="F28" i="1" s="1"/>
  <c r="B46" i="1"/>
  <c r="C46" i="1" s="1"/>
  <c r="D46" i="1" s="1"/>
  <c r="E46" i="1" s="1"/>
  <c r="A47" i="1"/>
  <c r="E45" i="1"/>
  <c r="D29" i="1" l="1"/>
  <c r="E29" i="1" s="1"/>
  <c r="F29" i="1" s="1"/>
  <c r="F14" i="1"/>
  <c r="G14" i="1" s="1"/>
  <c r="H14" i="1" s="1"/>
  <c r="C14" i="1"/>
  <c r="D14" i="1" s="1"/>
  <c r="D52" i="1"/>
  <c r="A16" i="1"/>
  <c r="B15" i="1"/>
  <c r="G45" i="1"/>
  <c r="B47" i="1"/>
  <c r="C47" i="1" s="1"/>
  <c r="D47" i="1" s="1"/>
  <c r="E47" i="1" s="1"/>
  <c r="A48" i="1"/>
  <c r="G46" i="1" l="1"/>
  <c r="D30" i="1"/>
  <c r="E30" i="1" s="1"/>
  <c r="F30" i="1" s="1"/>
  <c r="F15" i="1"/>
  <c r="G15" i="1" s="1"/>
  <c r="H15" i="1" s="1"/>
  <c r="C15" i="1"/>
  <c r="D15" i="1" s="1"/>
  <c r="B48" i="1"/>
  <c r="C48" i="1" s="1"/>
  <c r="D48" i="1" s="1"/>
  <c r="E48" i="1" s="1"/>
  <c r="A49" i="1"/>
  <c r="B49" i="1" s="1"/>
  <c r="C49" i="1" s="1"/>
  <c r="D49" i="1" s="1"/>
  <c r="E49" i="1" s="1"/>
  <c r="A17" i="1"/>
  <c r="B17" i="1" s="1"/>
  <c r="B16" i="1"/>
  <c r="F48" i="1" l="1"/>
  <c r="F17" i="1"/>
  <c r="G17" i="1" s="1"/>
  <c r="H17" i="1" s="1"/>
  <c r="C17" i="1"/>
  <c r="D17" i="1" s="1"/>
  <c r="D32" i="1"/>
  <c r="E32" i="1" s="1"/>
  <c r="F32" i="1" s="1"/>
  <c r="F49" i="1"/>
  <c r="G47" i="1"/>
  <c r="C16" i="1"/>
  <c r="D16" i="1" s="1"/>
  <c r="D31" i="1"/>
  <c r="E31" i="1" s="1"/>
  <c r="F31" i="1" s="1"/>
  <c r="F16" i="1"/>
  <c r="G16" i="1" s="1"/>
  <c r="H16" i="1" s="1"/>
  <c r="E50" i="1"/>
  <c r="G48" i="1" l="1"/>
  <c r="E16" i="1"/>
  <c r="G49" i="1"/>
  <c r="F40" i="1"/>
  <c r="F39" i="1"/>
  <c r="F41" i="1"/>
  <c r="F42" i="1"/>
  <c r="F43" i="1"/>
  <c r="F44" i="1"/>
  <c r="F45" i="1"/>
  <c r="F46" i="1"/>
  <c r="F47" i="1"/>
  <c r="F33" i="1"/>
  <c r="E17" i="1"/>
  <c r="D18" i="1"/>
  <c r="H18" i="1"/>
  <c r="I16" i="1" s="1"/>
  <c r="I17" i="1" l="1"/>
  <c r="G23" i="1"/>
  <c r="G22" i="1"/>
  <c r="G24" i="1"/>
  <c r="G25" i="1"/>
  <c r="G26" i="1"/>
  <c r="G27" i="1"/>
  <c r="G28" i="1"/>
  <c r="G29" i="1"/>
  <c r="G30" i="1"/>
  <c r="E7" i="1"/>
  <c r="E8" i="1"/>
  <c r="E9" i="1"/>
  <c r="E10" i="1"/>
  <c r="E11" i="1"/>
  <c r="E12" i="1"/>
  <c r="E13" i="1"/>
  <c r="E14" i="1"/>
  <c r="E15" i="1"/>
  <c r="G32" i="1"/>
  <c r="G31" i="1"/>
  <c r="I7" i="1"/>
  <c r="I8" i="1"/>
  <c r="I9" i="1"/>
  <c r="I10" i="1"/>
  <c r="I11" i="1"/>
  <c r="I12" i="1"/>
  <c r="I13" i="1"/>
  <c r="I14" i="1"/>
  <c r="I15" i="1"/>
  <c r="G50" i="1"/>
  <c r="H49" i="1" s="1"/>
  <c r="H39" i="1" l="1"/>
  <c r="H40" i="1"/>
  <c r="H41" i="1"/>
  <c r="H42" i="1"/>
  <c r="H43" i="1"/>
  <c r="H44" i="1"/>
  <c r="H45" i="1"/>
  <c r="H46" i="1"/>
  <c r="H47" i="1"/>
  <c r="H48" i="1"/>
</calcChain>
</file>

<file path=xl/sharedStrings.xml><?xml version="1.0" encoding="utf-8"?>
<sst xmlns="http://schemas.openxmlformats.org/spreadsheetml/2006/main" count="49" uniqueCount="31">
  <si>
    <t>Two Stage SET Designer (choke loaded input)</t>
  </si>
  <si>
    <t>Input</t>
  </si>
  <si>
    <t>Choke Loading Frequency Response Calculations</t>
  </si>
  <si>
    <t>Mu</t>
  </si>
  <si>
    <t>Inductance</t>
  </si>
  <si>
    <t>Rg next</t>
  </si>
  <si>
    <t>Rp</t>
  </si>
  <si>
    <t>DCR</t>
  </si>
  <si>
    <t>Frequency</t>
  </si>
  <si>
    <t>Reactance Choke</t>
  </si>
  <si>
    <t>Voltage gain</t>
  </si>
  <si>
    <t>dB</t>
  </si>
  <si>
    <t>dB +/-</t>
  </si>
  <si>
    <t>Z wrt Rg</t>
  </si>
  <si>
    <t>Voltage Gain''</t>
  </si>
  <si>
    <t>dB Average</t>
  </si>
  <si>
    <t>Miller Effect Compensation</t>
  </si>
  <si>
    <t>Miller Reactance</t>
  </si>
  <si>
    <t>Rg' wrt Miller</t>
  </si>
  <si>
    <t>Z wrt Rg'</t>
  </si>
  <si>
    <t>Output</t>
  </si>
  <si>
    <t>Pri Nom Z</t>
  </si>
  <si>
    <t>Miller input (pF)</t>
  </si>
  <si>
    <t>Induct Reactance</t>
  </si>
  <si>
    <t>Z wrt nom load</t>
  </si>
  <si>
    <t>Gain</t>
  </si>
  <si>
    <t>Total dB</t>
  </si>
  <si>
    <t>Scale</t>
  </si>
  <si>
    <t>Approximate Power</t>
  </si>
  <si>
    <t>Input RMS</t>
  </si>
  <si>
    <t>Power 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</si>
</sst>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name val="Arial"/>
      <family val="2"/>
    </font>
    <font>
      <sz val="10"/>
      <name val="Arial"/>
      <family val="2"/>
    </font>
    <font>
      <sz val="22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/>
    <xf numFmtId="0" fontId="1" fillId="0" borderId="0" xfId="0" applyFont="1" applyAlignment="1">
      <alignment horizontal="right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1" fillId="0" borderId="0" xfId="0" applyFont="1" applyFill="1" applyAlignment="1">
      <alignment horizontal="right"/>
    </xf>
    <xf numFmtId="164" fontId="0" fillId="0" borderId="0" xfId="0" applyNumberFormat="1" applyFill="1" applyAlignment="1">
      <alignment horizontal="center"/>
    </xf>
    <xf numFmtId="0" fontId="1" fillId="0" borderId="6" xfId="0" applyFont="1" applyBorder="1" applyAlignment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2" borderId="0" xfId="0" applyFont="1" applyFill="1" applyAlignment="1">
      <alignment horizontal="right"/>
    </xf>
    <xf numFmtId="164" fontId="0" fillId="0" borderId="7" xfId="0" applyNumberForma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0" xfId="0" applyFont="1"/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Calculated Frequency Response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65321860540628E-2"/>
          <c:y val="8.5382757675177792E-2"/>
          <c:w val="0.91010011635143551"/>
          <c:h val="0.81546768999487063"/>
        </c:manualLayout>
      </c:layout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'Two Stage SET'!$A$39:$A$49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SET'!$H$39:$H$49</c:f>
              <c:numCache>
                <c:formatCode>0.0</c:formatCode>
                <c:ptCount val="11"/>
                <c:pt idx="0">
                  <c:v>-3.9386519317403241</c:v>
                </c:pt>
                <c:pt idx="1">
                  <c:v>-1.7330326241518321</c:v>
                </c:pt>
                <c:pt idx="2">
                  <c:v>-0.41472237313207927</c:v>
                </c:pt>
                <c:pt idx="3">
                  <c:v>0.31173423456651506</c:v>
                </c:pt>
                <c:pt idx="4">
                  <c:v>0.69131400500049267</c:v>
                </c:pt>
                <c:pt idx="5">
                  <c:v>0.87964762053026391</c:v>
                </c:pt>
                <c:pt idx="6">
                  <c:v>0.96170748668718176</c:v>
                </c:pt>
                <c:pt idx="7">
                  <c:v>0.97622383610074337</c:v>
                </c:pt>
                <c:pt idx="8">
                  <c:v>0.93022885812918332</c:v>
                </c:pt>
                <c:pt idx="9">
                  <c:v>0.80208087670775541</c:v>
                </c:pt>
                <c:pt idx="10">
                  <c:v>0.5334700113020503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B11-42ED-91CB-EB345E4A4981}"/>
            </c:ext>
          </c:extLst>
        </c:ser>
        <c:ser>
          <c:idx val="1"/>
          <c:order val="1"/>
          <c:spPr>
            <a:ln w="19050">
              <a:noFill/>
            </a:ln>
          </c:spPr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'Two Stage SET'!$A$39:$A$49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SET'!$I$39:$I$49</c:f>
              <c:numCache>
                <c:formatCode>General</c:formatCode>
                <c:ptCount val="11"/>
                <c:pt idx="0">
                  <c:v>-3</c:v>
                </c:pt>
                <c:pt idx="1">
                  <c:v>-3</c:v>
                </c:pt>
                <c:pt idx="2">
                  <c:v>-3</c:v>
                </c:pt>
                <c:pt idx="3">
                  <c:v>-3</c:v>
                </c:pt>
                <c:pt idx="4">
                  <c:v>-3</c:v>
                </c:pt>
                <c:pt idx="5">
                  <c:v>-3</c:v>
                </c:pt>
                <c:pt idx="6">
                  <c:v>-3</c:v>
                </c:pt>
                <c:pt idx="7">
                  <c:v>-3</c:v>
                </c:pt>
                <c:pt idx="8">
                  <c:v>-3</c:v>
                </c:pt>
                <c:pt idx="9">
                  <c:v>-3</c:v>
                </c:pt>
                <c:pt idx="10">
                  <c:v>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B11-42ED-91CB-EB345E4A4981}"/>
            </c:ext>
          </c:extLst>
        </c:ser>
        <c:ser>
          <c:idx val="2"/>
          <c:order val="2"/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'Two Stage SET'!$A$22:$A$32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SET'!$G$22:$G$32</c:f>
              <c:numCache>
                <c:formatCode>0.0</c:formatCode>
                <c:ptCount val="11"/>
                <c:pt idx="0">
                  <c:v>-1.428130832502994</c:v>
                </c:pt>
                <c:pt idx="1">
                  <c:v>-0.60110098159561431</c:v>
                </c:pt>
                <c:pt idx="2">
                  <c:v>-0.10001200648369846</c:v>
                </c:pt>
                <c:pt idx="3">
                  <c:v>0.177048532202015</c:v>
                </c:pt>
                <c:pt idx="4">
                  <c:v>0.32025760616939536</c:v>
                </c:pt>
                <c:pt idx="5">
                  <c:v>0.38727062875906526</c:v>
                </c:pt>
                <c:pt idx="6">
                  <c:v>0.40785681861729017</c:v>
                </c:pt>
                <c:pt idx="7">
                  <c:v>0.39142912161534227</c:v>
                </c:pt>
                <c:pt idx="8">
                  <c:v>0.32990982448180262</c:v>
                </c:pt>
                <c:pt idx="9">
                  <c:v>0.19398654705181428</c:v>
                </c:pt>
                <c:pt idx="10">
                  <c:v>-7.8515258314439507E-2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B11-42ED-91CB-EB345E4A4981}"/>
            </c:ext>
          </c:extLst>
        </c:ser>
        <c:ser>
          <c:idx val="3"/>
          <c:order val="3"/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'Two Stage SET'!$A$7:$A$17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SET'!$I$7:$I$17</c:f>
              <c:numCache>
                <c:formatCode>0.0</c:formatCode>
                <c:ptCount val="11"/>
                <c:pt idx="0">
                  <c:v>-1.5301895320671832</c:v>
                </c:pt>
                <c:pt idx="1">
                  <c:v>-0.70261685501449378</c:v>
                </c:pt>
                <c:pt idx="2">
                  <c:v>-0.20041430371327706</c:v>
                </c:pt>
                <c:pt idx="3">
                  <c:v>7.8892309513783232E-2</c:v>
                </c:pt>
                <c:pt idx="4">
                  <c:v>0.22660335609121063</c:v>
                </c:pt>
                <c:pt idx="5">
                  <c:v>0.30261968036719011</c:v>
                </c:pt>
                <c:pt idx="6">
                  <c:v>0.34118785226888448</c:v>
                </c:pt>
                <c:pt idx="7">
                  <c:v>0.36061451993861482</c:v>
                </c:pt>
                <c:pt idx="8">
                  <c:v>0.37036382834589787</c:v>
                </c:pt>
                <c:pt idx="9">
                  <c:v>0.37524751776577503</c:v>
                </c:pt>
                <c:pt idx="10">
                  <c:v>0.3776916265036192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B11-42ED-91CB-EB345E4A4981}"/>
            </c:ext>
          </c:extLst>
        </c:ser>
        <c:ser>
          <c:idx val="4"/>
          <c:order val="4"/>
          <c:spPr>
            <a:ln w="2857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'Two Stage SET'!$A$7:$A$17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SET'!$E$7:$E$17</c:f>
              <c:numCache>
                <c:formatCode>0.0</c:formatCode>
                <c:ptCount val="11"/>
                <c:pt idx="0">
                  <c:v>-1.5460929142521991</c:v>
                </c:pt>
                <c:pt idx="1">
                  <c:v>-0.71038051695443372</c:v>
                </c:pt>
                <c:pt idx="2">
                  <c:v>-0.2028426545373776</c:v>
                </c:pt>
                <c:pt idx="3">
                  <c:v>7.9569011682060875E-2</c:v>
                </c:pt>
                <c:pt idx="4">
                  <c:v>0.22896343936743335</c:v>
                </c:pt>
                <c:pt idx="5">
                  <c:v>0.30585743050958314</c:v>
                </c:pt>
                <c:pt idx="6">
                  <c:v>0.34487388164773591</c:v>
                </c:pt>
                <c:pt idx="7">
                  <c:v>0.3645271099017009</c:v>
                </c:pt>
                <c:pt idx="8">
                  <c:v>0.37439031148324631</c:v>
                </c:pt>
                <c:pt idx="9">
                  <c:v>0.37933110167881168</c:v>
                </c:pt>
                <c:pt idx="10">
                  <c:v>0.38180379947344534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1B11-42ED-91CB-EB345E4A49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1625136"/>
        <c:axId val="1"/>
      </c:scatterChart>
      <c:valAx>
        <c:axId val="401625136"/>
        <c:scaling>
          <c:logBase val="2"/>
          <c:orientation val="minMax"/>
          <c:max val="22000"/>
          <c:min val="18"/>
        </c:scaling>
        <c:delete val="0"/>
        <c:axPos val="b"/>
        <c:majorGridlines>
          <c:spPr>
            <a:ln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numFmt formatCode="General" sourceLinked="1"/>
        <c:majorTickMark val="in"/>
        <c:minorTickMark val="none"/>
        <c:tickLblPos val="none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prstDash val="sysDot"/>
            <a:round/>
          </a:ln>
          <a:effectLst/>
        </c:spPr>
        <c:crossAx val="1"/>
        <c:crosses val="autoZero"/>
        <c:crossBetween val="midCat"/>
      </c:valAx>
      <c:valAx>
        <c:axId val="1"/>
        <c:scaling>
          <c:orientation val="minMax"/>
          <c:max val="3"/>
          <c:min val="-3"/>
        </c:scaling>
        <c:delete val="0"/>
        <c:axPos val="l"/>
        <c:majorGridlines>
          <c:spPr>
            <a:ln w="12700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01625136"/>
        <c:crosses val="autoZero"/>
        <c:crossBetween val="midCat"/>
        <c:majorUnit val="0.5"/>
      </c:valAx>
      <c:spPr>
        <a:gradFill flip="none" rotWithShape="1">
          <a:gsLst>
            <a:gs pos="0">
              <a:schemeClr val="accent1">
                <a:lumMod val="50000"/>
              </a:schemeClr>
            </a:gs>
            <a:gs pos="20000">
              <a:schemeClr val="accent1">
                <a:lumMod val="75000"/>
              </a:schemeClr>
            </a:gs>
            <a:gs pos="40000">
              <a:schemeClr val="accent1">
                <a:lumMod val="60000"/>
                <a:lumOff val="40000"/>
              </a:schemeClr>
            </a:gs>
            <a:gs pos="100000">
              <a:schemeClr val="bg1"/>
            </a:gs>
            <a:gs pos="80000">
              <a:schemeClr val="accent1">
                <a:lumMod val="20000"/>
                <a:lumOff val="80000"/>
              </a:schemeClr>
            </a:gs>
            <a:gs pos="60000">
              <a:schemeClr val="accent1">
                <a:lumMod val="40000"/>
                <a:lumOff val="60000"/>
              </a:schemeClr>
            </a:gs>
          </a:gsLst>
          <a:lin ang="0" scaled="0"/>
          <a:tileRect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53</xdr:row>
      <xdr:rowOff>38100</xdr:rowOff>
    </xdr:from>
    <xdr:to>
      <xdr:col>7</xdr:col>
      <xdr:colOff>9525</xdr:colOff>
      <xdr:row>81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3DB1015-C751-4B09-8738-6435593680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imothyC/Desktop/tube%20b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ilding Blocks"/>
      <sheetName val="Tube Calcs"/>
      <sheetName val="Hybrid MOSFET Calcs"/>
      <sheetName val="UTC Trx"/>
      <sheetName val="Woofer Selector"/>
      <sheetName val="RIAA calcs"/>
      <sheetName val="Cap Solver"/>
      <sheetName val="Two Stage SET"/>
      <sheetName val="Exit Strategy"/>
      <sheetName val="SE LL"/>
      <sheetName val="PP LL"/>
      <sheetName val="LL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7">
          <cell r="A7">
            <v>20</v>
          </cell>
          <cell r="E7">
            <v>-1.5460929142521991</v>
          </cell>
          <cell r="I7">
            <v>-1.5301895320671832</v>
          </cell>
        </row>
        <row r="8">
          <cell r="A8">
            <v>40</v>
          </cell>
          <cell r="E8">
            <v>-0.71038051695443372</v>
          </cell>
          <cell r="I8">
            <v>-0.70261685501449378</v>
          </cell>
        </row>
        <row r="9">
          <cell r="A9">
            <v>80</v>
          </cell>
          <cell r="E9">
            <v>-0.2028426545373776</v>
          </cell>
          <cell r="I9">
            <v>-0.20041430371327706</v>
          </cell>
        </row>
        <row r="10">
          <cell r="A10">
            <v>160</v>
          </cell>
          <cell r="E10">
            <v>7.9569011682060875E-2</v>
          </cell>
          <cell r="I10">
            <v>7.8892309513783232E-2</v>
          </cell>
        </row>
        <row r="11">
          <cell r="A11">
            <v>320</v>
          </cell>
          <cell r="E11">
            <v>0.22896343936743335</v>
          </cell>
          <cell r="I11">
            <v>0.22660335609121063</v>
          </cell>
        </row>
        <row r="12">
          <cell r="A12">
            <v>640</v>
          </cell>
          <cell r="E12">
            <v>0.30585743050958314</v>
          </cell>
          <cell r="I12">
            <v>0.30261968036719011</v>
          </cell>
        </row>
        <row r="13">
          <cell r="A13">
            <v>1280</v>
          </cell>
          <cell r="E13">
            <v>0.34487388164773591</v>
          </cell>
          <cell r="I13">
            <v>0.34118785226888448</v>
          </cell>
        </row>
        <row r="14">
          <cell r="A14">
            <v>2560</v>
          </cell>
          <cell r="E14">
            <v>0.3645271099017009</v>
          </cell>
          <cell r="I14">
            <v>0.36061451993861482</v>
          </cell>
        </row>
        <row r="15">
          <cell r="A15">
            <v>5120</v>
          </cell>
          <cell r="E15">
            <v>0.37439031148324631</v>
          </cell>
          <cell r="I15">
            <v>0.37036382834589787</v>
          </cell>
        </row>
        <row r="16">
          <cell r="A16">
            <v>10240</v>
          </cell>
          <cell r="E16">
            <v>0.37933110167881168</v>
          </cell>
          <cell r="I16">
            <v>0.37524751776577503</v>
          </cell>
        </row>
        <row r="17">
          <cell r="A17">
            <v>20480</v>
          </cell>
          <cell r="E17">
            <v>0.38180379947344534</v>
          </cell>
          <cell r="I17">
            <v>0.3776916265036192</v>
          </cell>
        </row>
        <row r="22">
          <cell r="A22">
            <v>20</v>
          </cell>
          <cell r="G22">
            <v>-1.428130832502994</v>
          </cell>
        </row>
        <row r="23">
          <cell r="A23">
            <v>40</v>
          </cell>
          <cell r="G23">
            <v>-0.60110098159561431</v>
          </cell>
        </row>
        <row r="24">
          <cell r="A24">
            <v>80</v>
          </cell>
          <cell r="G24">
            <v>-0.10001200648369846</v>
          </cell>
        </row>
        <row r="25">
          <cell r="A25">
            <v>160</v>
          </cell>
          <cell r="G25">
            <v>0.177048532202015</v>
          </cell>
        </row>
        <row r="26">
          <cell r="A26">
            <v>320</v>
          </cell>
          <cell r="G26">
            <v>0.32025760616939536</v>
          </cell>
        </row>
        <row r="27">
          <cell r="A27">
            <v>640</v>
          </cell>
          <cell r="G27">
            <v>0.38727062875906526</v>
          </cell>
        </row>
        <row r="28">
          <cell r="A28">
            <v>1280</v>
          </cell>
          <cell r="G28">
            <v>0.40785681861729017</v>
          </cell>
        </row>
        <row r="29">
          <cell r="A29">
            <v>2560</v>
          </cell>
          <cell r="G29">
            <v>0.39142912161534227</v>
          </cell>
        </row>
        <row r="30">
          <cell r="A30">
            <v>5120</v>
          </cell>
          <cell r="G30">
            <v>0.32990982448180262</v>
          </cell>
        </row>
        <row r="31">
          <cell r="A31">
            <v>10240</v>
          </cell>
          <cell r="G31">
            <v>0.19398654705181428</v>
          </cell>
        </row>
        <row r="32">
          <cell r="A32">
            <v>20480</v>
          </cell>
          <cell r="G32">
            <v>-7.8515258314439507E-2</v>
          </cell>
        </row>
        <row r="39">
          <cell r="A39">
            <v>20</v>
          </cell>
          <cell r="H39">
            <v>-3.9386519317403241</v>
          </cell>
          <cell r="I39">
            <v>-3</v>
          </cell>
        </row>
        <row r="40">
          <cell r="A40">
            <v>40</v>
          </cell>
          <cell r="H40">
            <v>-1.7330326241518321</v>
          </cell>
          <cell r="I40">
            <v>-3</v>
          </cell>
        </row>
        <row r="41">
          <cell r="A41">
            <v>80</v>
          </cell>
          <cell r="H41">
            <v>-0.41472237313207927</v>
          </cell>
          <cell r="I41">
            <v>-3</v>
          </cell>
        </row>
        <row r="42">
          <cell r="A42">
            <v>160</v>
          </cell>
          <cell r="H42">
            <v>0.31173423456651506</v>
          </cell>
          <cell r="I42">
            <v>-3</v>
          </cell>
        </row>
        <row r="43">
          <cell r="A43">
            <v>320</v>
          </cell>
          <cell r="H43">
            <v>0.69131400500049267</v>
          </cell>
          <cell r="I43">
            <v>-3</v>
          </cell>
        </row>
        <row r="44">
          <cell r="A44">
            <v>640</v>
          </cell>
          <cell r="H44">
            <v>0.87964762053026391</v>
          </cell>
          <cell r="I44">
            <v>-3</v>
          </cell>
        </row>
        <row r="45">
          <cell r="A45">
            <v>1280</v>
          </cell>
          <cell r="H45">
            <v>0.96170748668718176</v>
          </cell>
          <cell r="I45">
            <v>-3</v>
          </cell>
        </row>
        <row r="46">
          <cell r="A46">
            <v>2560</v>
          </cell>
          <cell r="H46">
            <v>0.97622383610074337</v>
          </cell>
          <cell r="I46">
            <v>-3</v>
          </cell>
        </row>
        <row r="47">
          <cell r="A47">
            <v>5120</v>
          </cell>
          <cell r="H47">
            <v>0.93022885812918332</v>
          </cell>
          <cell r="I47">
            <v>-3</v>
          </cell>
        </row>
        <row r="48">
          <cell r="A48">
            <v>10240</v>
          </cell>
          <cell r="H48">
            <v>0.80208087670775541</v>
          </cell>
          <cell r="I48">
            <v>-3</v>
          </cell>
        </row>
        <row r="49">
          <cell r="A49">
            <v>20480</v>
          </cell>
          <cell r="H49">
            <v>0.5334700113020503</v>
          </cell>
          <cell r="I49">
            <v>-3</v>
          </cell>
        </row>
      </sheetData>
      <sheetData sheetId="8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Normal="100" workbookViewId="0">
      <selection activeCell="L45" sqref="L45"/>
    </sheetView>
  </sheetViews>
  <sheetFormatPr defaultRowHeight="12.75" x14ac:dyDescent="0.2"/>
  <cols>
    <col min="1" max="1" width="12.5703125" customWidth="1"/>
    <col min="2" max="4" width="15.7109375" customWidth="1"/>
    <col min="5" max="5" width="15.28515625" customWidth="1"/>
    <col min="6" max="7" width="15.7109375" customWidth="1"/>
  </cols>
  <sheetData>
    <row r="1" spans="1:9" ht="31.5" customHeight="1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9" ht="18" x14ac:dyDescent="0.25">
      <c r="A2" s="2" t="s">
        <v>1</v>
      </c>
      <c r="B2" s="3"/>
      <c r="C2" s="3"/>
      <c r="D2" s="3"/>
      <c r="E2" s="3"/>
      <c r="F2" s="3"/>
      <c r="G2" s="3"/>
      <c r="H2" s="3"/>
      <c r="I2" s="4"/>
    </row>
    <row r="3" spans="1:9" x14ac:dyDescent="0.2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">
      <c r="A4" s="8" t="s">
        <v>3</v>
      </c>
      <c r="B4" s="9">
        <v>17</v>
      </c>
      <c r="C4" s="10" t="s">
        <v>4</v>
      </c>
      <c r="D4" s="9">
        <v>150</v>
      </c>
      <c r="E4" s="10" t="s">
        <v>5</v>
      </c>
      <c r="F4" s="9">
        <v>470000</v>
      </c>
    </row>
    <row r="5" spans="1:9" x14ac:dyDescent="0.2">
      <c r="A5" s="8" t="s">
        <v>6</v>
      </c>
      <c r="B5" s="9">
        <v>5500</v>
      </c>
      <c r="C5" s="8" t="s">
        <v>7</v>
      </c>
      <c r="D5" s="9">
        <v>3250</v>
      </c>
    </row>
    <row r="6" spans="1:9" x14ac:dyDescent="0.2">
      <c r="A6" s="11" t="s">
        <v>8</v>
      </c>
      <c r="B6" s="12" t="s">
        <v>9</v>
      </c>
      <c r="C6" s="12" t="s">
        <v>10</v>
      </c>
      <c r="D6" s="12" t="s">
        <v>11</v>
      </c>
      <c r="E6" s="13" t="s">
        <v>12</v>
      </c>
      <c r="F6" s="12" t="s">
        <v>13</v>
      </c>
      <c r="G6" s="12" t="s">
        <v>14</v>
      </c>
      <c r="H6" s="12" t="s">
        <v>11</v>
      </c>
      <c r="I6" s="13" t="s">
        <v>12</v>
      </c>
    </row>
    <row r="7" spans="1:9" x14ac:dyDescent="0.2">
      <c r="A7" s="14">
        <v>20</v>
      </c>
      <c r="B7" s="15">
        <f>A7*$D$4*2*PI()+$D$5</f>
        <v>22099.555921538758</v>
      </c>
      <c r="C7" s="15">
        <f t="shared" ref="C7:C17" si="0">$B$4*B7/($B$5+B7)</f>
        <v>13.61226433259267</v>
      </c>
      <c r="D7" s="15">
        <f>20*LOG(C7)</f>
        <v>22.67860747887179</v>
      </c>
      <c r="E7" s="16">
        <f t="shared" ref="E7:E17" si="1">D7-$D$18</f>
        <v>-1.5460929142521991</v>
      </c>
      <c r="F7" s="15">
        <f t="shared" ref="F7:F17" si="2">B7*$F$4/(B7+$F$4)</f>
        <v>21107.093388190959</v>
      </c>
      <c r="G7" s="15">
        <f t="shared" ref="G7:G17" si="3">$B$4*F7/(F7+$B$5)</f>
        <v>13.485899506727099</v>
      </c>
      <c r="H7" s="17">
        <f>20*LOG(G7)</f>
        <v>22.597598382155006</v>
      </c>
      <c r="I7" s="16">
        <f t="shared" ref="I7:I17" si="4">H7-$H$18</f>
        <v>-1.5301895320671832</v>
      </c>
    </row>
    <row r="8" spans="1:9" x14ac:dyDescent="0.2">
      <c r="A8" s="14">
        <f t="shared" ref="A8:A17" si="5">A7*2</f>
        <v>40</v>
      </c>
      <c r="B8" s="15">
        <f>A8*$D$4*2*PI()+$D$5</f>
        <v>40949.111843077517</v>
      </c>
      <c r="C8" s="15">
        <f t="shared" si="0"/>
        <v>14.987044395684507</v>
      </c>
      <c r="D8" s="15">
        <f t="shared" ref="D8:D17" si="6">20*LOG(C8)</f>
        <v>23.514319876169555</v>
      </c>
      <c r="E8" s="16">
        <f t="shared" si="1"/>
        <v>-0.71038051695443372</v>
      </c>
      <c r="F8" s="15">
        <f t="shared" si="2"/>
        <v>37667.317782044178</v>
      </c>
      <c r="G8" s="15">
        <f t="shared" si="3"/>
        <v>14.834009505244449</v>
      </c>
      <c r="H8" s="17">
        <f t="shared" ref="H8:H17" si="7">20*LOG(G8)</f>
        <v>23.425171059207695</v>
      </c>
      <c r="I8" s="16">
        <f t="shared" si="4"/>
        <v>-0.70261685501449378</v>
      </c>
    </row>
    <row r="9" spans="1:9" x14ac:dyDescent="0.2">
      <c r="A9" s="14">
        <f t="shared" si="5"/>
        <v>80</v>
      </c>
      <c r="B9" s="15">
        <f t="shared" ref="B9:B18" si="8">A9*$D$4*2*PI()+$D$5</f>
        <v>78648.223686155034</v>
      </c>
      <c r="C9" s="15">
        <f t="shared" si="0"/>
        <v>15.888865434061637</v>
      </c>
      <c r="D9" s="15">
        <f t="shared" si="6"/>
        <v>24.021857738586611</v>
      </c>
      <c r="E9" s="16">
        <f t="shared" si="1"/>
        <v>-0.2028426545373776</v>
      </c>
      <c r="F9" s="15">
        <f t="shared" si="2"/>
        <v>67374.072377636781</v>
      </c>
      <c r="G9" s="15">
        <f t="shared" si="3"/>
        <v>15.716964800382245</v>
      </c>
      <c r="H9" s="17">
        <f t="shared" si="7"/>
        <v>23.927373610508912</v>
      </c>
      <c r="I9" s="16">
        <f t="shared" si="4"/>
        <v>-0.20041430371327706</v>
      </c>
    </row>
    <row r="10" spans="1:9" x14ac:dyDescent="0.2">
      <c r="A10" s="14">
        <f t="shared" si="5"/>
        <v>160</v>
      </c>
      <c r="B10" s="15">
        <f t="shared" si="8"/>
        <v>154046.44737231007</v>
      </c>
      <c r="C10" s="15">
        <f t="shared" si="0"/>
        <v>16.413963760773608</v>
      </c>
      <c r="D10" s="15">
        <f t="shared" si="6"/>
        <v>24.30426940480605</v>
      </c>
      <c r="E10" s="16">
        <f t="shared" si="1"/>
        <v>7.9569011682060875E-2</v>
      </c>
      <c r="F10" s="15">
        <f t="shared" si="2"/>
        <v>116019.93821109014</v>
      </c>
      <c r="G10" s="15">
        <f t="shared" si="3"/>
        <v>16.230578937280377</v>
      </c>
      <c r="H10" s="17">
        <f t="shared" si="7"/>
        <v>24.206680223735972</v>
      </c>
      <c r="I10" s="16">
        <f t="shared" si="4"/>
        <v>7.8892309513783232E-2</v>
      </c>
    </row>
    <row r="11" spans="1:9" x14ac:dyDescent="0.2">
      <c r="A11" s="14">
        <f t="shared" si="5"/>
        <v>320</v>
      </c>
      <c r="B11" s="15">
        <f t="shared" si="8"/>
        <v>304842.89474462013</v>
      </c>
      <c r="C11" s="15">
        <f t="shared" si="0"/>
        <v>16.698720345838943</v>
      </c>
      <c r="D11" s="15">
        <f t="shared" si="6"/>
        <v>24.453663832491422</v>
      </c>
      <c r="E11" s="16">
        <f t="shared" si="1"/>
        <v>0.22896343936743335</v>
      </c>
      <c r="F11" s="15">
        <f t="shared" si="2"/>
        <v>184909.94949007532</v>
      </c>
      <c r="G11" s="15">
        <f t="shared" si="3"/>
        <v>16.50895423138131</v>
      </c>
      <c r="H11" s="17">
        <f t="shared" si="7"/>
        <v>24.3543912703134</v>
      </c>
      <c r="I11" s="16">
        <f t="shared" si="4"/>
        <v>0.22660335609121063</v>
      </c>
    </row>
    <row r="12" spans="1:9" x14ac:dyDescent="0.2">
      <c r="A12" s="14">
        <f t="shared" si="5"/>
        <v>640</v>
      </c>
      <c r="B12" s="15">
        <f t="shared" si="8"/>
        <v>606435.78948924027</v>
      </c>
      <c r="C12" s="15">
        <f t="shared" si="0"/>
        <v>16.847206191227937</v>
      </c>
      <c r="D12" s="15">
        <f t="shared" si="6"/>
        <v>24.530557823633572</v>
      </c>
      <c r="E12" s="16">
        <f t="shared" si="1"/>
        <v>0.30585743050958314</v>
      </c>
      <c r="F12" s="15">
        <f t="shared" si="2"/>
        <v>264785.71582535806</v>
      </c>
      <c r="G12" s="15">
        <f t="shared" si="3"/>
        <v>16.654069769412402</v>
      </c>
      <c r="H12" s="17">
        <f t="shared" si="7"/>
        <v>24.430407594589379</v>
      </c>
      <c r="I12" s="16">
        <f t="shared" si="4"/>
        <v>0.30261968036719011</v>
      </c>
    </row>
    <row r="13" spans="1:9" x14ac:dyDescent="0.2">
      <c r="A13" s="14">
        <f t="shared" si="5"/>
        <v>1280</v>
      </c>
      <c r="B13" s="15">
        <f t="shared" si="8"/>
        <v>1209621.5789784805</v>
      </c>
      <c r="C13" s="15">
        <f t="shared" si="0"/>
        <v>16.923052967194767</v>
      </c>
      <c r="D13" s="15">
        <f t="shared" si="6"/>
        <v>24.569574274771725</v>
      </c>
      <c r="E13" s="16">
        <f t="shared" si="1"/>
        <v>0.34487388164773591</v>
      </c>
      <c r="F13" s="15">
        <f t="shared" si="2"/>
        <v>338482.28031557688</v>
      </c>
      <c r="G13" s="15">
        <f t="shared" si="3"/>
        <v>16.728183672966466</v>
      </c>
      <c r="H13" s="17">
        <f t="shared" si="7"/>
        <v>24.468975766491074</v>
      </c>
      <c r="I13" s="16">
        <f t="shared" si="4"/>
        <v>0.34118785226888448</v>
      </c>
    </row>
    <row r="14" spans="1:9" x14ac:dyDescent="0.2">
      <c r="A14" s="14">
        <f t="shared" si="5"/>
        <v>2560</v>
      </c>
      <c r="B14" s="15">
        <f t="shared" si="8"/>
        <v>2415993.1579569611</v>
      </c>
      <c r="C14" s="15">
        <f t="shared" si="0"/>
        <v>16.961387460586966</v>
      </c>
      <c r="D14" s="15">
        <f t="shared" si="6"/>
        <v>24.58922750302569</v>
      </c>
      <c r="E14" s="16">
        <f t="shared" si="1"/>
        <v>0.3645271099017009</v>
      </c>
      <c r="F14" s="15">
        <f t="shared" si="2"/>
        <v>393457.89199431834</v>
      </c>
      <c r="G14" s="15">
        <f t="shared" si="3"/>
        <v>16.765639427427764</v>
      </c>
      <c r="H14" s="17">
        <f t="shared" si="7"/>
        <v>24.488402434160804</v>
      </c>
      <c r="I14" s="16">
        <f t="shared" si="4"/>
        <v>0.36061451993861482</v>
      </c>
    </row>
    <row r="15" spans="1:9" x14ac:dyDescent="0.2">
      <c r="A15" s="14">
        <f t="shared" si="5"/>
        <v>5120</v>
      </c>
      <c r="B15" s="15">
        <f t="shared" si="8"/>
        <v>4828736.3159139222</v>
      </c>
      <c r="C15" s="15">
        <f t="shared" si="0"/>
        <v>16.980658785816445</v>
      </c>
      <c r="D15" s="15">
        <f t="shared" si="6"/>
        <v>24.599090704607235</v>
      </c>
      <c r="E15" s="16">
        <f t="shared" si="1"/>
        <v>0.37439031148324631</v>
      </c>
      <c r="F15" s="15">
        <f t="shared" si="2"/>
        <v>428310.81472452939</v>
      </c>
      <c r="G15" s="15">
        <f t="shared" si="3"/>
        <v>16.784468259373909</v>
      </c>
      <c r="H15" s="17">
        <f t="shared" si="7"/>
        <v>24.498151742568087</v>
      </c>
      <c r="I15" s="16">
        <f t="shared" si="4"/>
        <v>0.37036382834589787</v>
      </c>
    </row>
    <row r="16" spans="1:9" x14ac:dyDescent="0.2">
      <c r="A16" s="14">
        <f t="shared" si="5"/>
        <v>10240</v>
      </c>
      <c r="B16" s="15">
        <f t="shared" si="8"/>
        <v>9654222.6318278443</v>
      </c>
      <c r="C16" s="15">
        <f t="shared" si="0"/>
        <v>16.990320633048828</v>
      </c>
      <c r="D16" s="15">
        <f t="shared" si="6"/>
        <v>24.6040314948028</v>
      </c>
      <c r="E16" s="16">
        <f t="shared" si="1"/>
        <v>0.37933110167881168</v>
      </c>
      <c r="F16" s="15">
        <f t="shared" si="2"/>
        <v>448181.04085289972</v>
      </c>
      <c r="G16" s="15">
        <f t="shared" si="3"/>
        <v>16.793908072895828</v>
      </c>
      <c r="H16" s="17">
        <f t="shared" si="7"/>
        <v>24.503035431987964</v>
      </c>
      <c r="I16" s="16">
        <f t="shared" si="4"/>
        <v>0.37524751776577503</v>
      </c>
    </row>
    <row r="17" spans="1:9" x14ac:dyDescent="0.2">
      <c r="A17" s="14">
        <f t="shared" si="5"/>
        <v>20480</v>
      </c>
      <c r="B17" s="15">
        <f t="shared" si="8"/>
        <v>19305195.263655689</v>
      </c>
      <c r="C17" s="15">
        <f t="shared" si="0"/>
        <v>16.995158123582634</v>
      </c>
      <c r="D17" s="15">
        <f t="shared" si="6"/>
        <v>24.606504192597434</v>
      </c>
      <c r="E17" s="16">
        <f t="shared" si="1"/>
        <v>0.38180379947344534</v>
      </c>
      <c r="F17" s="15">
        <f t="shared" si="2"/>
        <v>458829.44026317727</v>
      </c>
      <c r="G17" s="15">
        <f t="shared" si="3"/>
        <v>16.798634349036742</v>
      </c>
      <c r="H17" s="17">
        <f t="shared" si="7"/>
        <v>24.505479540725808</v>
      </c>
      <c r="I17" s="16">
        <f t="shared" si="4"/>
        <v>0.3776916265036192</v>
      </c>
    </row>
    <row r="18" spans="1:9" x14ac:dyDescent="0.2">
      <c r="C18" s="18" t="s">
        <v>15</v>
      </c>
      <c r="D18" s="19">
        <f>AVERAGE(D7:D17)</f>
        <v>24.224700393123989</v>
      </c>
      <c r="F18" s="18"/>
      <c r="G18" s="18" t="s">
        <v>15</v>
      </c>
      <c r="H18" s="19">
        <f>AVERAGE(H7:H17)</f>
        <v>24.127787914222189</v>
      </c>
    </row>
    <row r="19" spans="1:9" x14ac:dyDescent="0.2">
      <c r="C19" s="18"/>
      <c r="D19" s="19"/>
      <c r="E19" s="18"/>
    </row>
    <row r="20" spans="1:9" x14ac:dyDescent="0.2">
      <c r="A20" s="5" t="s">
        <v>16</v>
      </c>
      <c r="B20" s="6"/>
      <c r="C20" s="6"/>
      <c r="D20" s="6"/>
      <c r="E20" s="6"/>
      <c r="F20" s="6"/>
      <c r="G20" s="6"/>
      <c r="H20" s="20"/>
    </row>
    <row r="21" spans="1:9" x14ac:dyDescent="0.2">
      <c r="A21" s="11" t="s">
        <v>8</v>
      </c>
      <c r="B21" s="12" t="s">
        <v>17</v>
      </c>
      <c r="C21" s="12" t="s">
        <v>18</v>
      </c>
      <c r="D21" s="12" t="s">
        <v>19</v>
      </c>
      <c r="E21" s="12" t="s">
        <v>14</v>
      </c>
      <c r="F21" s="12" t="s">
        <v>11</v>
      </c>
      <c r="G21" s="13" t="s">
        <v>12</v>
      </c>
    </row>
    <row r="22" spans="1:9" x14ac:dyDescent="0.2">
      <c r="A22" s="14">
        <v>20</v>
      </c>
      <c r="B22" s="21">
        <f t="shared" ref="B22:B32" si="9">1000000000000/(2*PI()*$F$37*A22)</f>
        <v>83765759.522050172</v>
      </c>
      <c r="C22" s="22">
        <f t="shared" ref="C22:C32" si="10">B22*$F$4/(B22+$F$4)</f>
        <v>467377.59828778921</v>
      </c>
      <c r="D22" s="16">
        <f t="shared" ref="D22:D32" si="11">(B7*C22)/(C22+B7)</f>
        <v>21101.77621368266</v>
      </c>
      <c r="E22" s="21">
        <f t="shared" ref="E22:E32" si="12">$B$4*D22/(D22+$B$5)</f>
        <v>13.485197106804163</v>
      </c>
      <c r="F22" s="22">
        <f>20*LOG(E22)</f>
        <v>22.597145974282888</v>
      </c>
      <c r="G22" s="16">
        <f t="shared" ref="G22:G32" si="13">F22-$F$33</f>
        <v>-1.428130832502994</v>
      </c>
    </row>
    <row r="23" spans="1:9" x14ac:dyDescent="0.2">
      <c r="A23" s="14">
        <f t="shared" ref="A23:A32" si="14">A22*2</f>
        <v>40</v>
      </c>
      <c r="B23" s="21">
        <f t="shared" si="9"/>
        <v>41882879.761025086</v>
      </c>
      <c r="C23" s="22">
        <f t="shared" si="10"/>
        <v>464784.29799233435</v>
      </c>
      <c r="D23" s="16">
        <f t="shared" si="11"/>
        <v>37633.472163898346</v>
      </c>
      <c r="E23" s="21">
        <f t="shared" si="12"/>
        <v>14.832309913639246</v>
      </c>
      <c r="F23" s="22">
        <f t="shared" ref="F23:F32" si="15">20*LOG(E23)</f>
        <v>23.424175825190268</v>
      </c>
      <c r="G23" s="16">
        <f t="shared" si="13"/>
        <v>-0.60110098159561431</v>
      </c>
    </row>
    <row r="24" spans="1:9" x14ac:dyDescent="0.2">
      <c r="A24" s="14">
        <f t="shared" si="14"/>
        <v>80</v>
      </c>
      <c r="B24" s="21">
        <f t="shared" si="9"/>
        <v>20941439.880512543</v>
      </c>
      <c r="C24" s="22">
        <f t="shared" si="10"/>
        <v>459683.08524635696</v>
      </c>
      <c r="D24" s="16">
        <f t="shared" si="11"/>
        <v>67158.007556513345</v>
      </c>
      <c r="E24" s="21">
        <f t="shared" si="12"/>
        <v>15.71314940851804</v>
      </c>
      <c r="F24" s="22">
        <f t="shared" si="15"/>
        <v>23.925264800302184</v>
      </c>
      <c r="G24" s="16">
        <f t="shared" si="13"/>
        <v>-0.10001200648369846</v>
      </c>
    </row>
    <row r="25" spans="1:9" x14ac:dyDescent="0.2">
      <c r="A25" s="14">
        <f t="shared" si="14"/>
        <v>160</v>
      </c>
      <c r="B25" s="21">
        <f t="shared" si="9"/>
        <v>10470719.940256272</v>
      </c>
      <c r="C25" s="22">
        <f t="shared" si="10"/>
        <v>449809.37258185353</v>
      </c>
      <c r="D25" s="16">
        <f t="shared" si="11"/>
        <v>114748.4772876114</v>
      </c>
      <c r="E25" s="21">
        <f t="shared" si="12"/>
        <v>16.222443376340095</v>
      </c>
      <c r="F25" s="22">
        <f t="shared" si="15"/>
        <v>24.202325338987897</v>
      </c>
      <c r="G25" s="16">
        <f t="shared" si="13"/>
        <v>0.177048532202015</v>
      </c>
    </row>
    <row r="26" spans="1:9" x14ac:dyDescent="0.2">
      <c r="A26" s="14">
        <f t="shared" si="14"/>
        <v>320</v>
      </c>
      <c r="B26" s="21">
        <f t="shared" si="9"/>
        <v>5235359.9701281358</v>
      </c>
      <c r="C26" s="22">
        <f t="shared" si="10"/>
        <v>431282.02231645712</v>
      </c>
      <c r="D26" s="16">
        <f t="shared" si="11"/>
        <v>178601.83385607929</v>
      </c>
      <c r="E26" s="21">
        <f t="shared" si="12"/>
        <v>16.492128904739246</v>
      </c>
      <c r="F26" s="22">
        <f t="shared" si="15"/>
        <v>24.345534412955278</v>
      </c>
      <c r="G26" s="16">
        <f t="shared" si="13"/>
        <v>0.32025760616939536</v>
      </c>
    </row>
    <row r="27" spans="1:9" x14ac:dyDescent="0.2">
      <c r="A27" s="14">
        <f t="shared" si="14"/>
        <v>640</v>
      </c>
      <c r="B27" s="21">
        <f t="shared" si="9"/>
        <v>2617679.9850640679</v>
      </c>
      <c r="C27" s="22">
        <f t="shared" si="10"/>
        <v>398457.61184172181</v>
      </c>
      <c r="D27" s="16">
        <f t="shared" si="11"/>
        <v>240462.27798409824</v>
      </c>
      <c r="E27" s="21">
        <f t="shared" si="12"/>
        <v>16.619860408001081</v>
      </c>
      <c r="F27" s="22">
        <f t="shared" si="15"/>
        <v>24.412547435544948</v>
      </c>
      <c r="G27" s="16">
        <f t="shared" si="13"/>
        <v>0.38727062875906526</v>
      </c>
    </row>
    <row r="28" spans="1:9" x14ac:dyDescent="0.2">
      <c r="A28" s="14">
        <f t="shared" si="14"/>
        <v>1280</v>
      </c>
      <c r="B28" s="21">
        <f t="shared" si="9"/>
        <v>1308839.9925320339</v>
      </c>
      <c r="C28" s="22">
        <f t="shared" si="10"/>
        <v>345817.94825426268</v>
      </c>
      <c r="D28" s="16">
        <f t="shared" si="11"/>
        <v>268932.89342506684</v>
      </c>
      <c r="E28" s="21">
        <f t="shared" si="12"/>
        <v>16.659297401149438</v>
      </c>
      <c r="F28" s="22">
        <f t="shared" si="15"/>
        <v>24.433133625403173</v>
      </c>
      <c r="G28" s="16">
        <f t="shared" si="13"/>
        <v>0.40785681861729017</v>
      </c>
    </row>
    <row r="29" spans="1:9" x14ac:dyDescent="0.2">
      <c r="A29" s="14">
        <f t="shared" si="14"/>
        <v>2560</v>
      </c>
      <c r="B29" s="21">
        <f t="shared" si="9"/>
        <v>654419.99626601697</v>
      </c>
      <c r="C29" s="22">
        <f t="shared" si="10"/>
        <v>273543.15937677509</v>
      </c>
      <c r="D29" s="16">
        <f t="shared" si="11"/>
        <v>245722.05892924286</v>
      </c>
      <c r="E29" s="21">
        <f t="shared" si="12"/>
        <v>16.627819306956901</v>
      </c>
      <c r="F29" s="22">
        <f t="shared" si="15"/>
        <v>24.416705928401225</v>
      </c>
      <c r="G29" s="16">
        <f t="shared" si="13"/>
        <v>0.39142912161534227</v>
      </c>
    </row>
    <row r="30" spans="1:9" x14ac:dyDescent="0.2">
      <c r="A30" s="14">
        <f t="shared" si="14"/>
        <v>5120</v>
      </c>
      <c r="B30" s="21">
        <f t="shared" si="9"/>
        <v>327209.99813300848</v>
      </c>
      <c r="C30" s="22">
        <f t="shared" si="10"/>
        <v>192908.64324666371</v>
      </c>
      <c r="D30" s="16">
        <f t="shared" si="11"/>
        <v>185497.9750409431</v>
      </c>
      <c r="E30" s="21">
        <f t="shared" si="12"/>
        <v>16.510466014207967</v>
      </c>
      <c r="F30" s="22">
        <f t="shared" si="15"/>
        <v>24.355186631267685</v>
      </c>
      <c r="G30" s="16">
        <f t="shared" si="13"/>
        <v>0.32990982448180262</v>
      </c>
    </row>
    <row r="31" spans="1:9" x14ac:dyDescent="0.2">
      <c r="A31" s="14">
        <f t="shared" si="14"/>
        <v>10240</v>
      </c>
      <c r="B31" s="21">
        <f t="shared" si="9"/>
        <v>163604.99906650424</v>
      </c>
      <c r="C31" s="22">
        <f t="shared" si="10"/>
        <v>121360.0739807074</v>
      </c>
      <c r="D31" s="16">
        <f t="shared" si="11"/>
        <v>119853.43565541848</v>
      </c>
      <c r="E31" s="21">
        <f t="shared" si="12"/>
        <v>16.254108995807499</v>
      </c>
      <c r="F31" s="22">
        <f t="shared" si="15"/>
        <v>24.219263353837697</v>
      </c>
      <c r="G31" s="16">
        <f t="shared" si="13"/>
        <v>0.19398654705181428</v>
      </c>
    </row>
    <row r="32" spans="1:9" x14ac:dyDescent="0.2">
      <c r="A32" s="14">
        <f t="shared" si="14"/>
        <v>20480</v>
      </c>
      <c r="B32" s="21">
        <f t="shared" si="9"/>
        <v>81802.499533252121</v>
      </c>
      <c r="C32" s="22">
        <f t="shared" si="10"/>
        <v>69675.608235101216</v>
      </c>
      <c r="D32" s="16">
        <f t="shared" si="11"/>
        <v>69425.041900232129</v>
      </c>
      <c r="E32" s="21">
        <f t="shared" si="12"/>
        <v>15.752086116621708</v>
      </c>
      <c r="F32" s="22">
        <f t="shared" si="15"/>
        <v>23.946761548471443</v>
      </c>
      <c r="G32" s="16">
        <f t="shared" si="13"/>
        <v>-7.8515258314439507E-2</v>
      </c>
    </row>
    <row r="33" spans="1:9" x14ac:dyDescent="0.2">
      <c r="C33" s="10"/>
      <c r="D33" s="16"/>
      <c r="E33" s="18" t="s">
        <v>15</v>
      </c>
      <c r="F33" s="19">
        <f>AVERAGE(F22:F32)</f>
        <v>24.025276806785882</v>
      </c>
    </row>
    <row r="35" spans="1:9" ht="18" x14ac:dyDescent="0.25">
      <c r="A35" s="2" t="s">
        <v>20</v>
      </c>
      <c r="B35" s="3"/>
      <c r="C35" s="3"/>
      <c r="D35" s="3"/>
      <c r="E35" s="3"/>
      <c r="F35" s="3"/>
      <c r="G35" s="3"/>
      <c r="H35" s="3"/>
      <c r="I35" s="4"/>
    </row>
    <row r="36" spans="1:9" x14ac:dyDescent="0.2">
      <c r="A36" s="10" t="s">
        <v>3</v>
      </c>
      <c r="B36" s="9">
        <v>8</v>
      </c>
      <c r="C36" s="10" t="s">
        <v>4</v>
      </c>
      <c r="D36" s="9">
        <v>20</v>
      </c>
      <c r="E36" s="10" t="s">
        <v>21</v>
      </c>
      <c r="F36" s="23">
        <v>5000</v>
      </c>
      <c r="G36" s="19"/>
    </row>
    <row r="37" spans="1:9" x14ac:dyDescent="0.2">
      <c r="A37" s="10" t="s">
        <v>6</v>
      </c>
      <c r="B37" s="9">
        <v>1500</v>
      </c>
      <c r="C37" s="10" t="s">
        <v>7</v>
      </c>
      <c r="D37" s="9">
        <v>150</v>
      </c>
      <c r="E37" s="10" t="s">
        <v>22</v>
      </c>
      <c r="F37" s="9">
        <v>95</v>
      </c>
    </row>
    <row r="38" spans="1:9" x14ac:dyDescent="0.2">
      <c r="A38" s="11" t="s">
        <v>8</v>
      </c>
      <c r="B38" s="12" t="s">
        <v>23</v>
      </c>
      <c r="C38" s="12" t="s">
        <v>24</v>
      </c>
      <c r="D38" s="12" t="s">
        <v>25</v>
      </c>
      <c r="E38" s="12" t="s">
        <v>11</v>
      </c>
      <c r="F38" s="13" t="s">
        <v>12</v>
      </c>
      <c r="G38" s="12" t="s">
        <v>26</v>
      </c>
      <c r="H38" s="13" t="s">
        <v>12</v>
      </c>
      <c r="I38" s="13" t="s">
        <v>27</v>
      </c>
    </row>
    <row r="39" spans="1:9" x14ac:dyDescent="0.2">
      <c r="A39" s="14">
        <v>20</v>
      </c>
      <c r="B39" s="16">
        <f t="shared" ref="B39:B49" si="16">A39*2*PI()*$D$36+$D$37</f>
        <v>2663.2741228718346</v>
      </c>
      <c r="C39" s="22">
        <f t="shared" ref="C39:C49" si="17">B39*$F$36/(B39+$F$36)</f>
        <v>1737.6868425749103</v>
      </c>
      <c r="D39" s="24">
        <f t="shared" ref="D39:D49" si="18">$B$36*C39/($B$37+C39)</f>
        <v>4.2936501942675589</v>
      </c>
      <c r="E39" s="24">
        <f>20*LOG(D39)</f>
        <v>12.656533187250925</v>
      </c>
      <c r="F39" s="24">
        <f t="shared" ref="F39:F49" si="19">E39-$E$50</f>
        <v>-2.5105210992373266</v>
      </c>
      <c r="G39" s="22">
        <f t="shared" ref="G39:G49" si="20">F22+E39</f>
        <v>35.25367916153381</v>
      </c>
      <c r="H39" s="24">
        <f t="shared" ref="H39:H49" si="21">G39-$G$50</f>
        <v>-3.9386519317403241</v>
      </c>
      <c r="I39" s="25">
        <v>-3</v>
      </c>
    </row>
    <row r="40" spans="1:9" x14ac:dyDescent="0.2">
      <c r="A40" s="14">
        <f t="shared" ref="A40:A49" si="22">A39*2</f>
        <v>40</v>
      </c>
      <c r="B40" s="16">
        <f t="shared" si="16"/>
        <v>5176.5482457436692</v>
      </c>
      <c r="C40" s="22">
        <f t="shared" si="17"/>
        <v>2543.3713478972377</v>
      </c>
      <c r="D40" s="26">
        <f t="shared" si="18"/>
        <v>5.0321795928438231</v>
      </c>
      <c r="E40" s="24">
        <f t="shared" ref="E40:E49" si="23">20*LOG(D40)</f>
        <v>14.035122643932036</v>
      </c>
      <c r="F40" s="26">
        <f t="shared" si="19"/>
        <v>-1.131931642556216</v>
      </c>
      <c r="G40" s="22">
        <f t="shared" si="20"/>
        <v>37.459298469122302</v>
      </c>
      <c r="H40" s="26">
        <f t="shared" si="21"/>
        <v>-1.7330326241518321</v>
      </c>
      <c r="I40" s="25">
        <v>-3</v>
      </c>
    </row>
    <row r="41" spans="1:9" x14ac:dyDescent="0.2">
      <c r="A41" s="14">
        <f t="shared" si="22"/>
        <v>80</v>
      </c>
      <c r="B41" s="16">
        <f t="shared" si="16"/>
        <v>10203.096491487338</v>
      </c>
      <c r="C41" s="22">
        <f t="shared" si="17"/>
        <v>3355.5981497586208</v>
      </c>
      <c r="D41" s="26">
        <f t="shared" si="18"/>
        <v>5.5286257985338967</v>
      </c>
      <c r="E41" s="24">
        <f t="shared" si="23"/>
        <v>14.852343919839871</v>
      </c>
      <c r="F41" s="26">
        <f t="shared" si="19"/>
        <v>-0.31471036664838081</v>
      </c>
      <c r="G41" s="22">
        <f t="shared" si="20"/>
        <v>38.777608720142055</v>
      </c>
      <c r="H41" s="26">
        <f t="shared" si="21"/>
        <v>-0.41472237313207927</v>
      </c>
      <c r="I41" s="25">
        <v>-3</v>
      </c>
    </row>
    <row r="42" spans="1:9" x14ac:dyDescent="0.2">
      <c r="A42" s="14">
        <f t="shared" si="22"/>
        <v>160</v>
      </c>
      <c r="B42" s="16">
        <f t="shared" si="16"/>
        <v>20256.192982974677</v>
      </c>
      <c r="C42" s="22">
        <f t="shared" si="17"/>
        <v>4010.14376882325</v>
      </c>
      <c r="D42" s="26">
        <f t="shared" si="18"/>
        <v>5.8221983847505436</v>
      </c>
      <c r="E42" s="24">
        <f t="shared" si="23"/>
        <v>15.301739988852749</v>
      </c>
      <c r="F42" s="26">
        <f t="shared" si="19"/>
        <v>0.13468570236449651</v>
      </c>
      <c r="G42" s="22">
        <f t="shared" si="20"/>
        <v>39.50406532784065</v>
      </c>
      <c r="H42" s="26">
        <f t="shared" si="21"/>
        <v>0.31173423456651506</v>
      </c>
      <c r="I42" s="25">
        <v>-3</v>
      </c>
    </row>
    <row r="43" spans="1:9" x14ac:dyDescent="0.2">
      <c r="A43" s="14">
        <f t="shared" si="22"/>
        <v>320</v>
      </c>
      <c r="B43" s="16">
        <f t="shared" si="16"/>
        <v>40362.385965949354</v>
      </c>
      <c r="C43" s="22">
        <f t="shared" si="17"/>
        <v>4448.8826046591576</v>
      </c>
      <c r="D43" s="26">
        <f t="shared" si="18"/>
        <v>5.9828144548353306</v>
      </c>
      <c r="E43" s="24">
        <f t="shared" si="23"/>
        <v>15.538110685319349</v>
      </c>
      <c r="F43" s="26">
        <f t="shared" si="19"/>
        <v>0.37105639883109731</v>
      </c>
      <c r="G43" s="22">
        <f t="shared" si="20"/>
        <v>39.883645098274627</v>
      </c>
      <c r="H43" s="26">
        <f t="shared" si="21"/>
        <v>0.69131400500049267</v>
      </c>
      <c r="I43" s="25">
        <v>-3</v>
      </c>
    </row>
    <row r="44" spans="1:9" x14ac:dyDescent="0.2">
      <c r="A44" s="14">
        <f t="shared" si="22"/>
        <v>640</v>
      </c>
      <c r="B44" s="16">
        <f t="shared" si="16"/>
        <v>80574.771931898707</v>
      </c>
      <c r="C44" s="22">
        <f t="shared" si="17"/>
        <v>4707.8578249686107</v>
      </c>
      <c r="D44" s="26">
        <f t="shared" si="18"/>
        <v>6.0669660391166129</v>
      </c>
      <c r="E44" s="24">
        <f t="shared" si="23"/>
        <v>15.659431278259452</v>
      </c>
      <c r="F44" s="26">
        <f t="shared" si="19"/>
        <v>0.49237699177120042</v>
      </c>
      <c r="G44" s="22">
        <f t="shared" si="20"/>
        <v>40.071978713804398</v>
      </c>
      <c r="H44" s="26">
        <f t="shared" si="21"/>
        <v>0.87964762053026391</v>
      </c>
      <c r="I44" s="25">
        <v>-3</v>
      </c>
    </row>
    <row r="45" spans="1:9" x14ac:dyDescent="0.2">
      <c r="A45" s="14">
        <f t="shared" si="22"/>
        <v>1280</v>
      </c>
      <c r="B45" s="16">
        <f t="shared" si="16"/>
        <v>160999.54386379741</v>
      </c>
      <c r="C45" s="22">
        <f t="shared" si="17"/>
        <v>4849.3971765337355</v>
      </c>
      <c r="D45" s="26">
        <f t="shared" si="18"/>
        <v>6.1100568028174536</v>
      </c>
      <c r="E45" s="24">
        <f t="shared" si="23"/>
        <v>15.720904954558144</v>
      </c>
      <c r="F45" s="26">
        <f t="shared" si="19"/>
        <v>0.55385066806989158</v>
      </c>
      <c r="G45" s="22">
        <f t="shared" si="20"/>
        <v>40.154038579961316</v>
      </c>
      <c r="H45" s="26">
        <f t="shared" si="21"/>
        <v>0.96170748668718176</v>
      </c>
      <c r="I45" s="25">
        <v>-3</v>
      </c>
    </row>
    <row r="46" spans="1:9" x14ac:dyDescent="0.2">
      <c r="A46" s="14">
        <f t="shared" si="22"/>
        <v>2560</v>
      </c>
      <c r="B46" s="16">
        <f t="shared" si="16"/>
        <v>321849.08772759483</v>
      </c>
      <c r="C46" s="22">
        <f t="shared" si="17"/>
        <v>4923.512101031668</v>
      </c>
      <c r="D46" s="26">
        <f t="shared" si="18"/>
        <v>6.1318630974365718</v>
      </c>
      <c r="E46" s="24">
        <f t="shared" si="23"/>
        <v>15.751849000973657</v>
      </c>
      <c r="F46" s="26">
        <f t="shared" si="19"/>
        <v>0.58479471448540465</v>
      </c>
      <c r="G46" s="22">
        <f t="shared" si="20"/>
        <v>40.168554929374878</v>
      </c>
      <c r="H46" s="26">
        <f t="shared" si="21"/>
        <v>0.97622383610074337</v>
      </c>
      <c r="I46" s="25">
        <v>-3</v>
      </c>
    </row>
    <row r="47" spans="1:9" x14ac:dyDescent="0.2">
      <c r="A47" s="14">
        <f t="shared" si="22"/>
        <v>5120</v>
      </c>
      <c r="B47" s="16">
        <f t="shared" si="16"/>
        <v>643548.17545518966</v>
      </c>
      <c r="C47" s="22">
        <f t="shared" si="17"/>
        <v>4961.4523624517897</v>
      </c>
      <c r="D47" s="26">
        <f t="shared" si="18"/>
        <v>6.1428323963613316</v>
      </c>
      <c r="E47" s="24">
        <f t="shared" si="23"/>
        <v>15.767373320135629</v>
      </c>
      <c r="F47" s="26">
        <f t="shared" si="19"/>
        <v>0.60031903364737715</v>
      </c>
      <c r="G47" s="22">
        <f t="shared" si="20"/>
        <v>40.122559951403318</v>
      </c>
      <c r="H47" s="26">
        <f t="shared" si="21"/>
        <v>0.93022885812918332</v>
      </c>
      <c r="I47" s="25">
        <v>-3</v>
      </c>
    </row>
    <row r="48" spans="1:9" x14ac:dyDescent="0.2">
      <c r="A48" s="14">
        <f t="shared" si="22"/>
        <v>10240</v>
      </c>
      <c r="B48" s="16">
        <f t="shared" si="16"/>
        <v>1286946.3509103793</v>
      </c>
      <c r="C48" s="22">
        <f t="shared" si="17"/>
        <v>4980.6493512812021</v>
      </c>
      <c r="D48" s="26">
        <f t="shared" si="18"/>
        <v>6.1483337009079744</v>
      </c>
      <c r="E48" s="24">
        <f t="shared" si="23"/>
        <v>15.775148616144195</v>
      </c>
      <c r="F48" s="26">
        <f t="shared" si="19"/>
        <v>0.6080943296559429</v>
      </c>
      <c r="G48" s="22">
        <f t="shared" si="20"/>
        <v>39.99441196998189</v>
      </c>
      <c r="H48" s="26">
        <f t="shared" si="21"/>
        <v>0.80208087670775541</v>
      </c>
      <c r="I48" s="25">
        <v>-3</v>
      </c>
    </row>
    <row r="49" spans="1:9" x14ac:dyDescent="0.2">
      <c r="A49" s="14">
        <f t="shared" si="22"/>
        <v>20480</v>
      </c>
      <c r="B49" s="16">
        <f t="shared" si="16"/>
        <v>2573742.7018207586</v>
      </c>
      <c r="C49" s="22">
        <f t="shared" si="17"/>
        <v>4990.3053530767738</v>
      </c>
      <c r="D49" s="26">
        <f t="shared" si="18"/>
        <v>6.1510885317111752</v>
      </c>
      <c r="E49" s="24">
        <f t="shared" si="23"/>
        <v>15.779039556104744</v>
      </c>
      <c r="F49" s="26">
        <f t="shared" si="19"/>
        <v>0.61198526961649158</v>
      </c>
      <c r="G49" s="22">
        <f t="shared" si="20"/>
        <v>39.725801104576185</v>
      </c>
      <c r="H49" s="26">
        <f t="shared" si="21"/>
        <v>0.5334700113020503</v>
      </c>
      <c r="I49" s="25">
        <v>-3</v>
      </c>
    </row>
    <row r="50" spans="1:9" x14ac:dyDescent="0.2">
      <c r="D50" s="10" t="s">
        <v>15</v>
      </c>
      <c r="E50" s="16">
        <f>AVERAGE(E39:E49)</f>
        <v>15.167054286488252</v>
      </c>
      <c r="F50" s="10" t="s">
        <v>15</v>
      </c>
      <c r="G50" s="16">
        <f>AVERAGE(G39:G49)</f>
        <v>39.192331093274134</v>
      </c>
      <c r="H50" s="27"/>
    </row>
    <row r="51" spans="1:9" x14ac:dyDescent="0.2">
      <c r="A51" s="28" t="s">
        <v>28</v>
      </c>
      <c r="B51" s="29"/>
      <c r="C51" s="29"/>
      <c r="D51" s="29"/>
    </row>
    <row r="52" spans="1:9" x14ac:dyDescent="0.2">
      <c r="A52" s="10" t="s">
        <v>29</v>
      </c>
      <c r="B52" s="9">
        <v>1.25</v>
      </c>
      <c r="C52" s="27" t="s">
        <v>30</v>
      </c>
      <c r="D52" s="30">
        <f>((B52/0.35)*D45*E28)^2/(8*F36)</f>
        <v>3.3039069231496505</v>
      </c>
    </row>
  </sheetData>
  <mergeCells count="6">
    <mergeCell ref="A1:H1"/>
    <mergeCell ref="A2:I2"/>
    <mergeCell ref="A3:I3"/>
    <mergeCell ref="A20:G20"/>
    <mergeCell ref="A35:I35"/>
    <mergeCell ref="A51:D5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Two Stage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Cose</dc:creator>
  <cp:lastModifiedBy>Timothy Cose</cp:lastModifiedBy>
  <dcterms:created xsi:type="dcterms:W3CDTF">2017-06-26T14:56:24Z</dcterms:created>
  <dcterms:modified xsi:type="dcterms:W3CDTF">2017-06-26T14:56:38Z</dcterms:modified>
</cp:coreProperties>
</file>